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ni\Desktop\KANNALAND\MFIP IIIx 2021-22\7. Oct 2021\25 Oct 2021\"/>
    </mc:Choice>
  </mc:AlternateContent>
  <xr:revisionPtr revIDLastSave="0" documentId="8_{F193D021-1F39-40AA-A560-C9D50C79FD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llection Rate" sheetId="2" r:id="rId1"/>
    <sheet name="Indigent Write-Offs" sheetId="3" r:id="rId2"/>
    <sheet name="Prescription" sheetId="4" r:id="rId3"/>
    <sheet name="Payment Report" sheetId="1" r:id="rId4"/>
  </sheets>
  <definedNames>
    <definedName name="_xlnm._FilterDatabase" localSheetId="1" hidden="1">'Indigent Write-Offs'!$C$13:$J$60</definedName>
    <definedName name="_xlnm._FilterDatabase" localSheetId="3" hidden="1">'Payment Report'!$A$9:$L$149</definedName>
    <definedName name="_xlnm.Print_Area" localSheetId="0">'Collection Rate'!$D$1:$K$42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2" l="1"/>
  <c r="I35" i="2" s="1"/>
  <c r="G33" i="2"/>
  <c r="F33" i="2"/>
  <c r="F40" i="2" s="1"/>
  <c r="G29" i="2"/>
  <c r="G38" i="2"/>
  <c r="I38" i="2" s="1"/>
  <c r="F38" i="2"/>
  <c r="G37" i="2"/>
  <c r="I37" i="2" s="1"/>
  <c r="F37" i="2"/>
  <c r="G36" i="2"/>
  <c r="I36" i="2" s="1"/>
  <c r="F36" i="2"/>
  <c r="F35" i="2"/>
  <c r="G34" i="2"/>
  <c r="I34" i="2" s="1"/>
  <c r="F34" i="2"/>
  <c r="N20" i="2"/>
  <c r="G40" i="2" l="1"/>
  <c r="G41" i="2" s="1"/>
  <c r="I33" i="2"/>
  <c r="G13" i="2" l="1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O94" i="1"/>
  <c r="I153" i="1"/>
  <c r="H153" i="1"/>
  <c r="G153" i="1"/>
  <c r="F153" i="1"/>
  <c r="C154" i="1" s="1"/>
  <c r="E153" i="1"/>
  <c r="C153" i="1"/>
  <c r="D153" i="1"/>
  <c r="C149" i="1"/>
  <c r="K12" i="1"/>
  <c r="I145" i="1"/>
  <c r="H145" i="1"/>
  <c r="G145" i="1"/>
  <c r="F145" i="1"/>
  <c r="E145" i="1"/>
  <c r="D145" i="1"/>
  <c r="C150" i="1"/>
  <c r="G164" i="1"/>
  <c r="J154" i="1"/>
  <c r="J164" i="1"/>
  <c r="I164" i="1"/>
  <c r="H164" i="1"/>
  <c r="F164" i="1"/>
  <c r="E164" i="1"/>
  <c r="D164" i="1"/>
  <c r="J161" i="1"/>
  <c r="I161" i="1"/>
  <c r="H161" i="1"/>
  <c r="G161" i="1"/>
  <c r="F161" i="1"/>
  <c r="J151" i="1"/>
  <c r="E161" i="1"/>
  <c r="H163" i="1" s="1"/>
  <c r="G65" i="4"/>
  <c r="H61" i="3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14" i="3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15" i="4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G53" i="4"/>
  <c r="F53" i="4"/>
  <c r="E53" i="4"/>
  <c r="D53" i="4"/>
  <c r="G47" i="4"/>
  <c r="F47" i="4"/>
  <c r="E47" i="4"/>
  <c r="D47" i="4"/>
  <c r="G38" i="4"/>
  <c r="G55" i="4" s="1"/>
  <c r="F38" i="4"/>
  <c r="F55" i="4" s="1"/>
  <c r="E38" i="4"/>
  <c r="E55" i="4" s="1"/>
  <c r="D38" i="4"/>
  <c r="D55" i="4" s="1"/>
  <c r="G26" i="4"/>
  <c r="F26" i="4"/>
  <c r="E26" i="4"/>
  <c r="D26" i="4"/>
  <c r="G19" i="4"/>
  <c r="F19" i="4"/>
  <c r="E19" i="4"/>
  <c r="D19" i="4"/>
  <c r="G19" i="2" l="1"/>
  <c r="F9" i="2"/>
  <c r="G9" i="2"/>
  <c r="F17" i="2"/>
  <c r="I17" i="2" s="1"/>
  <c r="G17" i="2"/>
  <c r="F18" i="2"/>
  <c r="G18" i="2"/>
  <c r="F19" i="2"/>
  <c r="F20" i="2"/>
  <c r="G20" i="2"/>
  <c r="F21" i="2"/>
  <c r="G21" i="2"/>
  <c r="F22" i="2"/>
  <c r="G22" i="2"/>
  <c r="D165" i="1"/>
  <c r="M6" i="2"/>
  <c r="N5" i="2"/>
  <c r="M7" i="2"/>
  <c r="N3" i="2"/>
  <c r="N7" i="2"/>
  <c r="M5" i="2"/>
  <c r="M4" i="2"/>
  <c r="N6" i="2"/>
  <c r="M3" i="2"/>
  <c r="L9" i="2"/>
  <c r="M8" i="2"/>
  <c r="N8" i="2"/>
  <c r="N4" i="2"/>
  <c r="C151" i="1"/>
  <c r="P5" i="2"/>
  <c r="E165" i="1"/>
  <c r="P6" i="2"/>
  <c r="P4" i="2"/>
  <c r="L8" i="2"/>
  <c r="L7" i="2"/>
  <c r="L6" i="2"/>
  <c r="L5" i="2"/>
  <c r="L4" i="2"/>
  <c r="P3" i="2"/>
  <c r="P8" i="2"/>
  <c r="P7" i="2"/>
  <c r="F3" i="2"/>
  <c r="F8" i="2"/>
  <c r="F7" i="2"/>
  <c r="L3" i="2"/>
  <c r="F6" i="2"/>
  <c r="F5" i="2"/>
  <c r="F4" i="2"/>
  <c r="G4" i="2"/>
  <c r="G3" i="2"/>
  <c r="G8" i="2"/>
  <c r="G7" i="2"/>
  <c r="G6" i="2"/>
  <c r="G5" i="2"/>
  <c r="H50" i="3"/>
  <c r="G50" i="3"/>
  <c r="F50" i="3"/>
  <c r="E50" i="3"/>
  <c r="H46" i="3"/>
  <c r="G46" i="3"/>
  <c r="F46" i="3"/>
  <c r="E46" i="3"/>
  <c r="H39" i="3"/>
  <c r="G39" i="3"/>
  <c r="F39" i="3"/>
  <c r="E39" i="3"/>
  <c r="H29" i="3"/>
  <c r="G29" i="3"/>
  <c r="F29" i="3"/>
  <c r="E29" i="3"/>
  <c r="H16" i="3"/>
  <c r="G16" i="3"/>
  <c r="F16" i="3"/>
  <c r="E16" i="3"/>
  <c r="H158" i="1"/>
  <c r="D158" i="1" s="1"/>
  <c r="G158" i="1"/>
  <c r="O6" i="2" l="1"/>
  <c r="O4" i="2"/>
  <c r="I22" i="2"/>
  <c r="F24" i="2"/>
  <c r="I21" i="2"/>
  <c r="I20" i="2"/>
  <c r="I18" i="2"/>
  <c r="I19" i="2"/>
  <c r="I6" i="2"/>
  <c r="I7" i="2"/>
  <c r="I3" i="2"/>
  <c r="I8" i="2"/>
  <c r="I4" i="2"/>
  <c r="O7" i="2"/>
  <c r="K5" i="2"/>
  <c r="I5" i="2" s="1"/>
  <c r="O8" i="2"/>
  <c r="O5" i="2"/>
  <c r="O3" i="2"/>
  <c r="L10" i="2"/>
  <c r="G10" i="2"/>
  <c r="H4" i="2"/>
  <c r="F10" i="2"/>
  <c r="H5" i="2"/>
  <c r="H6" i="2"/>
  <c r="H7" i="2"/>
  <c r="H8" i="2"/>
  <c r="H3" i="2"/>
  <c r="G11" i="2" l="1"/>
  <c r="E158" i="1" l="1"/>
  <c r="E159" i="1" s="1"/>
  <c r="G24" i="2" l="1"/>
  <c r="G25" i="2" l="1"/>
</calcChain>
</file>

<file path=xl/sharedStrings.xml><?xml version="1.0" encoding="utf-8"?>
<sst xmlns="http://schemas.openxmlformats.org/spreadsheetml/2006/main" count="596" uniqueCount="179">
  <si>
    <t>_x000C_BS-Q776</t>
  </si>
  <si>
    <t>A   1:01:01</t>
  </si>
  <si>
    <t>21/10/21   1</t>
  </si>
  <si>
    <t>2:40:36   CHARL</t>
  </si>
  <si>
    <t>Page:    1</t>
  </si>
  <si>
    <t>Kannalan</t>
  </si>
  <si>
    <t>d Municipalit</t>
  </si>
  <si>
    <t>y</t>
  </si>
  <si>
    <t>Summar</t>
  </si>
  <si>
    <t>y of History T</t>
  </si>
  <si>
    <t>ransactions by</t>
  </si>
  <si>
    <t>Date, TC &amp; Ser</t>
  </si>
  <si>
    <t>vice</t>
  </si>
  <si>
    <t>======</t>
  </si>
  <si>
    <t>==============</t>
  </si>
  <si>
    <t>===============</t>
  </si>
  <si>
    <t>====</t>
  </si>
  <si>
    <t>I.r.o.</t>
  </si>
  <si>
    <t>period 2021-0</t>
  </si>
  <si>
    <t>7 - 2021-09</t>
  </si>
  <si>
    <t>Serv.</t>
  </si>
  <si>
    <t>Opening</t>
  </si>
  <si>
    <t>Levies</t>
  </si>
  <si>
    <t>Receipts</t>
  </si>
  <si>
    <t>Credit</t>
  </si>
  <si>
    <t>Journals</t>
  </si>
  <si>
    <t>Transfers</t>
  </si>
  <si>
    <t>Refunds</t>
  </si>
  <si>
    <t>Other</t>
  </si>
  <si>
    <t>Closing</t>
  </si>
  <si>
    <t>Balance</t>
  </si>
  <si>
    <t>ELEC</t>
  </si>
  <si>
    <t>FIRE</t>
  </si>
  <si>
    <t>MASAK</t>
  </si>
  <si>
    <t>OLD</t>
  </si>
  <si>
    <t>RA11A</t>
  </si>
  <si>
    <t>RA12A</t>
  </si>
  <si>
    <t>RA14A</t>
  </si>
  <si>
    <t>RA15A</t>
  </si>
  <si>
    <t>RAT02</t>
  </si>
  <si>
    <t>RAT03</t>
  </si>
  <si>
    <t>RAT04</t>
  </si>
  <si>
    <t>RAT05</t>
  </si>
  <si>
    <t>RAT07</t>
  </si>
  <si>
    <t>RAT08</t>
  </si>
  <si>
    <t>RAT09</t>
  </si>
  <si>
    <t>RAT10</t>
  </si>
  <si>
    <t>RAT11</t>
  </si>
  <si>
    <t>RAT12</t>
  </si>
  <si>
    <t>RAT14</t>
  </si>
  <si>
    <t>RAT15</t>
  </si>
  <si>
    <t>RAT16</t>
  </si>
  <si>
    <t>RAT2A</t>
  </si>
  <si>
    <t>RAT3A</t>
  </si>
  <si>
    <t>RAT4A</t>
  </si>
  <si>
    <t>RAT7A</t>
  </si>
  <si>
    <t>RAT8A</t>
  </si>
  <si>
    <t>RATES</t>
  </si>
  <si>
    <t>REF</t>
  </si>
  <si>
    <t>SELF</t>
  </si>
  <si>
    <t>SERV</t>
  </si>
  <si>
    <t>SEWER</t>
  </si>
  <si>
    <t>SUN</t>
  </si>
  <si>
    <t>WATER</t>
  </si>
  <si>
    <t>ZZZZZ</t>
  </si>
  <si>
    <t>--</t>
  </si>
  <si>
    <t>-------------</t>
  </si>
  <si>
    <t>--------------</t>
  </si>
  <si>
    <t>---------------</t>
  </si>
  <si>
    <t>------------</t>
  </si>
  <si>
    <t>_x000C_</t>
  </si>
  <si>
    <t>BS-Q776A</t>
  </si>
  <si>
    <t>21/10/21   12</t>
  </si>
  <si>
    <t>:40:36   CHARL</t>
  </si>
  <si>
    <t>Page:    2</t>
  </si>
  <si>
    <t>Page:    3</t>
  </si>
  <si>
    <t>============</t>
  </si>
  <si>
    <t>* End of</t>
  </si>
  <si>
    <t>Report: Kann</t>
  </si>
  <si>
    <t>aland Municipa</t>
  </si>
  <si>
    <t>lity *</t>
  </si>
  <si>
    <t>_x000C_BS-Q780B   2021/08/25 16:12:38</t>
  </si>
  <si>
    <t>Kannala</t>
  </si>
  <si>
    <t>nd Municipality</t>
  </si>
  <si>
    <t>Flex</t>
  </si>
  <si>
    <t>Gen4(7.1U)     Page:    1</t>
  </si>
  <si>
    <t>List</t>
  </si>
  <si>
    <t>Write</t>
  </si>
  <si>
    <t>Off's By Servic</t>
  </si>
  <si>
    <t>e</t>
  </si>
  <si>
    <t>----</t>
  </si>
  <si>
    <t>-------</t>
  </si>
  <si>
    <t>-</t>
  </si>
  <si>
    <t>Period</t>
  </si>
  <si>
    <t>Sta</t>
  </si>
  <si>
    <t>rt : 20</t>
  </si>
  <si>
    <t>01/02    End :</t>
  </si>
  <si>
    <t>9999/99</t>
  </si>
  <si>
    <t>Posting Date</t>
  </si>
  <si>
    <t>rt : 25</t>
  </si>
  <si>
    <t>/08/2021 End :</t>
  </si>
  <si>
    <t>25/08/2021</t>
  </si>
  <si>
    <t>Subs.</t>
  </si>
  <si>
    <t>Oustanding</t>
  </si>
  <si>
    <t>Amount</t>
  </si>
  <si>
    <t>Vat</t>
  </si>
  <si>
    <t>Penalties</t>
  </si>
  <si>
    <t>Total</t>
  </si>
  <si>
    <t>:</t>
  </si>
  <si>
    <t>Commen</t>
  </si>
  <si>
    <t>t</t>
  </si>
  <si>
    <t>*WO*   WRITE-OF</t>
  </si>
  <si>
    <t>F INDIGENT DEBT</t>
  </si>
  <si>
    <t>AS AT 31 MAY 2</t>
  </si>
  <si>
    <t>AVAIL</t>
  </si>
  <si>
    <t>CONS</t>
  </si>
  <si>
    <t>MONTH</t>
  </si>
  <si>
    <t>GEN</t>
  </si>
  <si>
    <t>REM</t>
  </si>
  <si>
    <t>IR</t>
  </si>
  <si>
    <t>CONN</t>
  </si>
  <si>
    <t>LEVY</t>
  </si>
  <si>
    <t>STANK</t>
  </si>
  <si>
    <t>FEE</t>
  </si>
  <si>
    <t>LEG</t>
  </si>
  <si>
    <t>MED</t>
  </si>
  <si>
    <t>RENT</t>
  </si>
  <si>
    <t>*WO*   WRITE-OFF INDIG</t>
  </si>
  <si>
    <t>ENT DEBT AS AT 31</t>
  </si>
  <si>
    <t>MAY</t>
  </si>
  <si>
    <t>Peri</t>
  </si>
  <si>
    <t>od :</t>
  </si>
  <si>
    <t>Local Authori</t>
  </si>
  <si>
    <t>ty :</t>
  </si>
  <si>
    <t>KANNA</t>
  </si>
  <si>
    <t>* End of Report: Kannaland Municip</t>
  </si>
  <si>
    <t>ality *</t>
  </si>
  <si>
    <t>_x000C_BS-Q780B   2021/08/24 13:49:36</t>
  </si>
  <si>
    <t>Period       - Sta</t>
  </si>
  <si>
    <t>Posting Date - Sta</t>
  </si>
  <si>
    <t>rt : 24</t>
  </si>
  <si>
    <t>24/08/2021</t>
  </si>
  <si>
    <t>Local Autho</t>
  </si>
  <si>
    <t>rity :</t>
  </si>
  <si>
    <t>KANNA Kannaland</t>
  </si>
  <si>
    <t>Municipality</t>
  </si>
  <si>
    <t>Comment</t>
  </si>
  <si>
    <t>F PRESCRIPTION</t>
  </si>
  <si>
    <t>DEBT TILL MAY 2</t>
  </si>
  <si>
    <t>KVA</t>
  </si>
  <si>
    <t>PREP</t>
  </si>
  <si>
    <t>DEFMT</t>
  </si>
  <si>
    <t>HEALT</t>
  </si>
  <si>
    <t>MSPEC</t>
  </si>
  <si>
    <t>SPEC</t>
  </si>
  <si>
    <t>LEV</t>
  </si>
  <si>
    <t>MAVAI</t>
  </si>
  <si>
    <t>MLEV</t>
  </si>
  <si>
    <t>APP</t>
  </si>
  <si>
    <t>WMONT</t>
  </si>
  <si>
    <t>Comment :  *WO*   WRITE-OFF PRESC</t>
  </si>
  <si>
    <t>RIPTION DEBT TILL MAY</t>
  </si>
  <si>
    <t>Period :</t>
  </si>
  <si>
    <t>Local Authority :</t>
  </si>
  <si>
    <t>Electricity</t>
  </si>
  <si>
    <t xml:space="preserve">Rates  </t>
  </si>
  <si>
    <t>Refuse</t>
  </si>
  <si>
    <t>Sundries</t>
  </si>
  <si>
    <t>Water</t>
  </si>
  <si>
    <t>Sewerage</t>
  </si>
  <si>
    <t>Payments In advance</t>
  </si>
  <si>
    <t>Government rates paid in advance</t>
  </si>
  <si>
    <t>1st Quarter Levy</t>
  </si>
  <si>
    <t>1st Quarter Receipts</t>
  </si>
  <si>
    <t>Collection rate Excl Payments in advance</t>
  </si>
  <si>
    <t>Collection rate -Payments in Advance allocated</t>
  </si>
  <si>
    <t>Service</t>
  </si>
  <si>
    <t>Collection Rate</t>
  </si>
  <si>
    <t>Excl Payments in advance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</si>
</sst>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Arial Nova Cond"/>
      <family val="2"/>
    </font>
    <font>
      <sz val="9"/>
      <color theme="0"/>
      <name val="Calibri"/>
      <family val="2"/>
      <scheme val="minor"/>
    </font>
    <font>
      <b/>
      <sz val="9"/>
      <color theme="1"/>
      <name val="Arial Nova Cond"/>
      <family val="2"/>
    </font>
    <font>
      <b/>
      <sz val="8"/>
      <color theme="1"/>
      <name val="Arial Nova Cond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18" fillId="0" borderId="0" xfId="0" applyFont="1"/>
    <xf numFmtId="44" fontId="18" fillId="0" borderId="0" xfId="1" applyFont="1"/>
    <xf numFmtId="44" fontId="18" fillId="0" borderId="0" xfId="0" applyNumberFormat="1" applyFont="1"/>
    <xf numFmtId="164" fontId="18" fillId="0" borderId="0" xfId="44" applyNumberFormat="1" applyFont="1"/>
    <xf numFmtId="0" fontId="19" fillId="0" borderId="0" xfId="0" applyFont="1"/>
    <xf numFmtId="43" fontId="19" fillId="0" borderId="0" xfId="43" applyFont="1"/>
    <xf numFmtId="43" fontId="20" fillId="0" borderId="10" xfId="43" applyFont="1" applyBorder="1"/>
    <xf numFmtId="0" fontId="21" fillId="0" borderId="0" xfId="0" applyFont="1"/>
    <xf numFmtId="43" fontId="20" fillId="0" borderId="0" xfId="43" applyFont="1"/>
    <xf numFmtId="43" fontId="0" fillId="0" borderId="0" xfId="43" applyFont="1"/>
    <xf numFmtId="0" fontId="16" fillId="0" borderId="0" xfId="0" applyFont="1"/>
    <xf numFmtId="43" fontId="16" fillId="0" borderId="0" xfId="43" applyFont="1"/>
    <xf numFmtId="0" fontId="22" fillId="0" borderId="0" xfId="0" applyFont="1" applyAlignment="1">
      <alignment vertical="center"/>
    </xf>
    <xf numFmtId="0" fontId="22" fillId="33" borderId="0" xfId="0" applyFont="1" applyFill="1"/>
    <xf numFmtId="44" fontId="22" fillId="0" borderId="0" xfId="1" applyFont="1" applyAlignment="1">
      <alignment vertical="center"/>
    </xf>
    <xf numFmtId="0" fontId="0" fillId="33" borderId="0" xfId="0" applyFill="1"/>
    <xf numFmtId="43" fontId="0" fillId="0" borderId="0" xfId="0" applyNumberFormat="1"/>
    <xf numFmtId="43" fontId="19" fillId="0" borderId="0" xfId="0" applyNumberFormat="1" applyFont="1"/>
    <xf numFmtId="9" fontId="22" fillId="0" borderId="0" xfId="44" applyFont="1" applyAlignment="1">
      <alignment vertical="center"/>
    </xf>
    <xf numFmtId="44" fontId="22" fillId="0" borderId="0" xfId="0" applyNumberFormat="1" applyFont="1" applyAlignment="1">
      <alignment vertical="center"/>
    </xf>
    <xf numFmtId="0" fontId="18" fillId="34" borderId="0" xfId="0" applyFont="1" applyFill="1"/>
    <xf numFmtId="44" fontId="18" fillId="34" borderId="0" xfId="0" applyNumberFormat="1" applyFont="1" applyFill="1"/>
    <xf numFmtId="10" fontId="18" fillId="0" borderId="0" xfId="44" applyNumberFormat="1" applyFont="1"/>
    <xf numFmtId="0" fontId="22" fillId="0" borderId="0" xfId="0" applyFont="1" applyBorder="1" applyAlignment="1">
      <alignment vertical="center"/>
    </xf>
    <xf numFmtId="44" fontId="23" fillId="35" borderId="0" xfId="1" applyFont="1" applyFill="1"/>
    <xf numFmtId="44" fontId="22" fillId="0" borderId="0" xfId="1" applyFont="1" applyBorder="1" applyAlignment="1">
      <alignment vertical="center"/>
    </xf>
    <xf numFmtId="0" fontId="16" fillId="34" borderId="12" xfId="0" applyFont="1" applyFill="1" applyBorder="1"/>
    <xf numFmtId="44" fontId="24" fillId="34" borderId="13" xfId="1" applyFont="1" applyFill="1" applyBorder="1" applyAlignment="1">
      <alignment vertical="center"/>
    </xf>
    <xf numFmtId="44" fontId="24" fillId="34" borderId="14" xfId="1" applyFont="1" applyFill="1" applyBorder="1" applyAlignment="1">
      <alignment vertical="center"/>
    </xf>
    <xf numFmtId="0" fontId="16" fillId="34" borderId="15" xfId="0" applyFont="1" applyFill="1" applyBorder="1"/>
    <xf numFmtId="44" fontId="24" fillId="34" borderId="16" xfId="0" applyNumberFormat="1" applyFont="1" applyFill="1" applyBorder="1" applyAlignment="1">
      <alignment vertical="center"/>
    </xf>
    <xf numFmtId="44" fontId="24" fillId="34" borderId="17" xfId="0" applyNumberFormat="1" applyFont="1" applyFill="1" applyBorder="1" applyAlignment="1">
      <alignment vertical="center"/>
    </xf>
    <xf numFmtId="44" fontId="22" fillId="34" borderId="0" xfId="0" applyNumberFormat="1" applyFont="1" applyFill="1" applyAlignment="1">
      <alignment vertical="center"/>
    </xf>
    <xf numFmtId="44" fontId="22" fillId="0" borderId="18" xfId="0" applyNumberFormat="1" applyFont="1" applyBorder="1" applyAlignment="1">
      <alignment vertical="center"/>
    </xf>
    <xf numFmtId="44" fontId="22" fillId="0" borderId="11" xfId="1" applyFont="1" applyBorder="1" applyAlignment="1">
      <alignment vertical="center"/>
    </xf>
    <xf numFmtId="9" fontId="22" fillId="0" borderId="11" xfId="44" applyFont="1" applyBorder="1" applyAlignment="1">
      <alignment horizontal="center" vertical="center"/>
    </xf>
    <xf numFmtId="10" fontId="24" fillId="0" borderId="0" xfId="44" applyNumberFormat="1" applyFont="1" applyAlignment="1">
      <alignment vertical="center"/>
    </xf>
    <xf numFmtId="0" fontId="22" fillId="0" borderId="19" xfId="0" applyFont="1" applyBorder="1" applyAlignment="1">
      <alignment vertical="center"/>
    </xf>
    <xf numFmtId="44" fontId="22" fillId="34" borderId="19" xfId="1" applyFont="1" applyFill="1" applyBorder="1" applyAlignment="1">
      <alignment vertical="center"/>
    </xf>
    <xf numFmtId="44" fontId="22" fillId="34" borderId="15" xfId="1" applyFont="1" applyFill="1" applyBorder="1" applyAlignment="1">
      <alignment vertical="center"/>
    </xf>
    <xf numFmtId="9" fontId="22" fillId="34" borderId="15" xfId="44" applyFont="1" applyFill="1" applyBorder="1" applyAlignment="1">
      <alignment horizontal="center" vertical="center"/>
    </xf>
    <xf numFmtId="9" fontId="22" fillId="34" borderId="17" xfId="44" applyFont="1" applyFill="1" applyBorder="1" applyAlignment="1">
      <alignment horizontal="center" vertical="center"/>
    </xf>
    <xf numFmtId="0" fontId="22" fillId="0" borderId="23" xfId="0" applyFont="1" applyBorder="1" applyAlignment="1">
      <alignment vertical="center"/>
    </xf>
    <xf numFmtId="9" fontId="22" fillId="0" borderId="24" xfId="44" applyFont="1" applyBorder="1" applyAlignment="1">
      <alignment horizontal="center" vertical="center"/>
    </xf>
    <xf numFmtId="0" fontId="22" fillId="0" borderId="25" xfId="0" applyFont="1" applyBorder="1" applyAlignment="1">
      <alignment vertical="center"/>
    </xf>
    <xf numFmtId="44" fontId="22" fillId="0" borderId="26" xfId="1" applyFont="1" applyBorder="1" applyAlignment="1">
      <alignment vertical="center"/>
    </xf>
    <xf numFmtId="9" fontId="22" fillId="0" borderId="26" xfId="44" applyFont="1" applyBorder="1" applyAlignment="1">
      <alignment horizontal="center" vertical="center"/>
    </xf>
    <xf numFmtId="9" fontId="22" fillId="0" borderId="27" xfId="44" applyFont="1" applyBorder="1" applyAlignment="1">
      <alignment horizontal="center" vertical="center"/>
    </xf>
    <xf numFmtId="0" fontId="24" fillId="33" borderId="20" xfId="0" applyFont="1" applyFill="1" applyBorder="1" applyAlignment="1">
      <alignment vertical="center"/>
    </xf>
    <xf numFmtId="0" fontId="24" fillId="33" borderId="21" xfId="0" applyFont="1" applyFill="1" applyBorder="1" applyAlignment="1">
      <alignment horizontal="center" vertical="center"/>
    </xf>
    <xf numFmtId="0" fontId="25" fillId="33" borderId="21" xfId="0" applyFont="1" applyFill="1" applyBorder="1" applyAlignment="1">
      <alignment horizontal="center" vertical="center" wrapText="1"/>
    </xf>
    <xf numFmtId="0" fontId="25" fillId="33" borderId="22" xfId="0" applyFont="1" applyFill="1" applyBorder="1" applyAlignment="1">
      <alignment horizontal="center" vertical="center" wrapText="1"/>
    </xf>
    <xf numFmtId="0" fontId="24" fillId="33" borderId="0" xfId="0" applyFont="1" applyFill="1" applyAlignment="1">
      <alignment vertical="center"/>
    </xf>
    <xf numFmtId="10" fontId="24" fillId="33" borderId="0" xfId="44" applyNumberFormat="1" applyFont="1" applyFill="1" applyAlignment="1">
      <alignment vertical="center"/>
    </xf>
    <xf numFmtId="0" fontId="22" fillId="33" borderId="0" xfId="0" applyFont="1" applyFill="1" applyAlignment="1">
      <alignment vertical="center"/>
    </xf>
    <xf numFmtId="9" fontId="22" fillId="33" borderId="0" xfId="44" applyFont="1" applyFill="1" applyAlignment="1">
      <alignment vertical="center"/>
    </xf>
    <xf numFmtId="44" fontId="22" fillId="0" borderId="10" xfId="0" applyNumberFormat="1" applyFont="1" applyBorder="1" applyAlignment="1">
      <alignment vertical="center"/>
    </xf>
    <xf numFmtId="0" fontId="16" fillId="34" borderId="28" xfId="0" applyFont="1" applyFill="1" applyBorder="1"/>
    <xf numFmtId="44" fontId="24" fillId="34" borderId="0" xfId="0" applyNumberFormat="1" applyFont="1" applyFill="1" applyBorder="1" applyAlignment="1">
      <alignment vertical="center"/>
    </xf>
    <xf numFmtId="44" fontId="24" fillId="34" borderId="29" xfId="0" applyNumberFormat="1" applyFont="1" applyFill="1" applyBorder="1" applyAlignment="1">
      <alignment vertical="center"/>
    </xf>
    <xf numFmtId="0" fontId="24" fillId="33" borderId="30" xfId="0" applyFont="1" applyFill="1" applyBorder="1" applyAlignment="1">
      <alignment vertical="center"/>
    </xf>
    <xf numFmtId="0" fontId="24" fillId="33" borderId="19" xfId="0" applyFont="1" applyFill="1" applyBorder="1" applyAlignment="1">
      <alignment horizontal="center" vertical="center"/>
    </xf>
    <xf numFmtId="0" fontId="25" fillId="33" borderId="19" xfId="0" applyFont="1" applyFill="1" applyBorder="1" applyAlignment="1">
      <alignment horizontal="center" vertical="center" wrapText="1"/>
    </xf>
    <xf numFmtId="0" fontId="25" fillId="33" borderId="31" xfId="0" applyFont="1" applyFill="1" applyBorder="1" applyAlignment="1">
      <alignment horizontal="center" vertical="center" wrapText="1"/>
    </xf>
    <xf numFmtId="0" fontId="0" fillId="0" borderId="0" xfId="0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4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C6BD9-8A8C-47CF-B077-9672240022CF}">
  <sheetPr>
    <tabColor theme="8" tint="0.39997558519241921"/>
  </sheetPr>
  <dimension ref="B1:P151"/>
  <sheetViews>
    <sheetView showGridLines="0" tabSelected="1" topLeftCell="B10" zoomScaleNormal="100" zoomScaleSheetLayoutView="90" workbookViewId="0">
      <selection activeCell="E16" sqref="E16:I22"/>
    </sheetView>
  </sheetViews>
  <sheetFormatPr defaultRowHeight="15.6" customHeight="1" x14ac:dyDescent="0.3"/>
  <cols>
    <col min="1" max="2" width="8.88671875" style="13"/>
    <col min="3" max="3" width="25.77734375" style="13" customWidth="1"/>
    <col min="4" max="4" width="2.88671875" style="13" customWidth="1"/>
    <col min="5" max="5" width="19.77734375" style="13" customWidth="1"/>
    <col min="6" max="7" width="15.109375" style="13" customWidth="1"/>
    <col min="8" max="9" width="13.5546875" style="13" customWidth="1"/>
    <col min="10" max="10" width="3.21875" style="13" customWidth="1"/>
    <col min="11" max="11" width="13.44140625" style="13" customWidth="1"/>
    <col min="12" max="12" width="14.109375" style="13" customWidth="1"/>
    <col min="13" max="13" width="13.33203125" style="13" customWidth="1"/>
    <col min="14" max="14" width="13.44140625" style="13" customWidth="1"/>
    <col min="15" max="15" width="14.5546875" style="13" customWidth="1"/>
    <col min="16" max="16" width="13.88671875" style="13" customWidth="1"/>
    <col min="17" max="19" width="8.88671875" style="13" customWidth="1"/>
    <col min="20" max="16384" width="8.88671875" style="13"/>
  </cols>
  <sheetData>
    <row r="1" spans="2:16" ht="15.6" customHeight="1" thickBot="1" x14ac:dyDescent="0.35"/>
    <row r="2" spans="2:16" ht="38.4" customHeight="1" x14ac:dyDescent="0.3">
      <c r="E2" s="49" t="s">
        <v>176</v>
      </c>
      <c r="F2" s="50" t="s">
        <v>172</v>
      </c>
      <c r="G2" s="50" t="s">
        <v>173</v>
      </c>
      <c r="H2" s="51" t="s">
        <v>174</v>
      </c>
      <c r="I2" s="52" t="s">
        <v>175</v>
      </c>
    </row>
    <row r="3" spans="2:16" ht="15.6" customHeight="1" x14ac:dyDescent="0.3">
      <c r="B3" s="13" t="s">
        <v>31</v>
      </c>
      <c r="C3" s="13" t="s">
        <v>164</v>
      </c>
      <c r="E3" s="43" t="s">
        <v>164</v>
      </c>
      <c r="F3" s="35">
        <f>SUMIF('Payment Report'!L:L,E3,'Payment Report'!C:C)+SUMIF('Payment Report'!L:L,E3,'Payment Report'!F:F)+SUMIF('Payment Report'!L:L,E3,'Payment Report'!G:G)-SUMIF('Indigent Write-Offs'!J:J,'Collection Rate'!E3,'Indigent Write-Offs'!I:I)-SUMIF(Prescription!J:J,'Collection Rate'!E3,Prescription!I:I)+SUMIF('Payment Report'!L:L,E3,'Payment Report'!I:I)+SUMIF('Payment Report'!L:L,E3,'Payment Report'!E:E)+SUMIF('Payment Report'!L:L,E3,'Payment Report'!H:H)</f>
        <v>14389331.4</v>
      </c>
      <c r="G3" s="35">
        <f>-SUMIF('Payment Report'!L:L,E3,'Payment Report'!D:D)</f>
        <v>12558060.329999998</v>
      </c>
      <c r="H3" s="36">
        <f>G3/F3</f>
        <v>0.87273410980026478</v>
      </c>
      <c r="I3" s="44">
        <f>SUM(G3+K3)/F3</f>
        <v>0.87273410980026478</v>
      </c>
      <c r="J3" s="19"/>
      <c r="K3" s="20"/>
      <c r="L3" s="15">
        <f>SUMIF('Payment Report'!L:L,E3,'Payment Report'!K:K)</f>
        <v>12739086.5</v>
      </c>
      <c r="M3" s="15">
        <f>SUMIF('Indigent Write-Offs'!J:J,E3,'Indigent Write-Offs'!I:I)</f>
        <v>-42642.58</v>
      </c>
      <c r="N3" s="15">
        <f>SUMIF(Prescription!J:J,E3,Prescription!I:I)</f>
        <v>-1607602.32</v>
      </c>
      <c r="O3" s="20">
        <f>L3-M3-N3</f>
        <v>14389331.4</v>
      </c>
      <c r="P3" s="15">
        <f>SUMIF('Payment Report'!L:L,E3,'Payment Report'!E:E)</f>
        <v>-808998.25</v>
      </c>
    </row>
    <row r="4" spans="2:16" ht="15.6" customHeight="1" x14ac:dyDescent="0.3">
      <c r="B4" s="13" t="s">
        <v>32</v>
      </c>
      <c r="C4" s="13" t="s">
        <v>167</v>
      </c>
      <c r="E4" s="43" t="s">
        <v>167</v>
      </c>
      <c r="F4" s="35">
        <f>SUMIF('Payment Report'!L:L,E4,'Payment Report'!C:C)+SUMIF('Payment Report'!L:L,E4,'Payment Report'!F:F)+SUMIF('Payment Report'!L:L,E4,'Payment Report'!G:G)-SUMIF('Indigent Write-Offs'!J:J,'Collection Rate'!E4,'Indigent Write-Offs'!I:I)-SUMIF(Prescription!J:J,'Collection Rate'!E4,Prescription!I:I)+SUMIF('Payment Report'!L:L,E4,'Payment Report'!I:I)+SUMIF('Payment Report'!L:L,E4,'Payment Report'!E:E)+SUMIF('Payment Report'!L:L,E4,'Payment Report'!H:H)</f>
        <v>197604.92000000004</v>
      </c>
      <c r="G4" s="35">
        <f>-SUMIF('Payment Report'!L:L,E4,'Payment Report'!D:D)</f>
        <v>172094.4</v>
      </c>
      <c r="H4" s="36">
        <f t="shared" ref="H4:H8" si="0">G4/F4</f>
        <v>0.87090139253617749</v>
      </c>
      <c r="I4" s="44">
        <f t="shared" ref="I4:I8" si="1">SUM(G4+K4)/F4</f>
        <v>0.87090139253617749</v>
      </c>
      <c r="J4" s="19"/>
      <c r="K4" s="20"/>
      <c r="L4" s="15">
        <f>SUMIF('Payment Report'!L:L,E4,'Payment Report'!K:K)</f>
        <v>-599323.79</v>
      </c>
      <c r="M4" s="15">
        <f>SUMIF('Indigent Write-Offs'!J:J,E4,'Indigent Write-Offs'!I:I)</f>
        <v>-99639.309999999983</v>
      </c>
      <c r="N4" s="15">
        <f>SUMIF(Prescription!J:J,E4,Prescription!I:I)</f>
        <v>-697289.4</v>
      </c>
      <c r="O4" s="20">
        <f t="shared" ref="O4:O8" si="2">L4-M4-N4</f>
        <v>197604.91999999998</v>
      </c>
      <c r="P4" s="15">
        <f>SUMIF('Payment Report'!L:L,E4,'Payment Report'!E:E)</f>
        <v>782621.68</v>
      </c>
    </row>
    <row r="5" spans="2:16" ht="15.6" customHeight="1" x14ac:dyDescent="0.3">
      <c r="B5" s="13" t="s">
        <v>33</v>
      </c>
      <c r="C5" s="13" t="s">
        <v>167</v>
      </c>
      <c r="E5" s="43" t="s">
        <v>165</v>
      </c>
      <c r="F5" s="35">
        <f>SUMIF('Payment Report'!L:L,E5,'Payment Report'!C:C)+SUMIF('Payment Report'!L:L,E5,'Payment Report'!F:F)+SUMIF('Payment Report'!L:L,E5,'Payment Report'!G:G)-SUMIF('Indigent Write-Offs'!J:J,'Collection Rate'!E5,'Indigent Write-Offs'!I:I)-SUMIF(Prescription!J:J,'Collection Rate'!E5,Prescription!I:I)+SUMIF('Payment Report'!L:L,E5,'Payment Report'!I:I)+SUMIF('Payment Report'!L:L,E5,'Payment Report'!E:E)+SUMIF('Payment Report'!L:L,E5,'Payment Report'!H:H)</f>
        <v>5546940.2600000007</v>
      </c>
      <c r="G5" s="35">
        <f>-SUMIF('Payment Report'!L:L,E5,'Payment Report'!D:D)</f>
        <v>3474621.5599999996</v>
      </c>
      <c r="H5" s="36">
        <f t="shared" si="0"/>
        <v>0.62640327768736404</v>
      </c>
      <c r="I5" s="44">
        <f t="shared" si="1"/>
        <v>1.222608014502232</v>
      </c>
      <c r="J5" s="19"/>
      <c r="K5" s="33">
        <f>G13</f>
        <v>3307112.0578410961</v>
      </c>
      <c r="L5" s="15">
        <f>SUMIF('Payment Report'!L:L,E5,'Payment Report'!K:K)</f>
        <v>3769223.9100000011</v>
      </c>
      <c r="M5" s="15">
        <f>SUMIF('Indigent Write-Offs'!J:J,E5,'Indigent Write-Offs'!I:I)</f>
        <v>-1099034.19</v>
      </c>
      <c r="N5" s="15">
        <f>SUMIF(Prescription!J:J,E5,Prescription!I:I)</f>
        <v>-678682.16</v>
      </c>
      <c r="O5" s="20">
        <f t="shared" si="2"/>
        <v>5546940.2600000016</v>
      </c>
      <c r="P5" s="15">
        <f>SUMIF('Payment Report'!L:L,E5,'Payment Report'!E:E)</f>
        <v>-1155913.8699999999</v>
      </c>
    </row>
    <row r="6" spans="2:16" ht="15.6" customHeight="1" x14ac:dyDescent="0.3">
      <c r="B6" s="13" t="s">
        <v>34</v>
      </c>
      <c r="C6" s="13" t="s">
        <v>165</v>
      </c>
      <c r="E6" s="43" t="s">
        <v>166</v>
      </c>
      <c r="F6" s="35">
        <f>SUMIF('Payment Report'!L:L,E6,'Payment Report'!C:C)+SUMIF('Payment Report'!L:L,E6,'Payment Report'!F:F)+SUMIF('Payment Report'!L:L,E6,'Payment Report'!G:G)-SUMIF('Indigent Write-Offs'!J:J,'Collection Rate'!E6,'Indigent Write-Offs'!I:I)-SUMIF(Prescription!J:J,'Collection Rate'!E6,Prescription!I:I)+SUMIF('Payment Report'!L:L,E6,'Payment Report'!I:I)+SUMIF('Payment Report'!L:L,E6,'Payment Report'!E:E)+SUMIF('Payment Report'!L:L,E6,'Payment Report'!H:H)</f>
        <v>2539059.4300000002</v>
      </c>
      <c r="G6" s="35">
        <f>-SUMIF('Payment Report'!L:L,E6,'Payment Report'!D:D)</f>
        <v>920352.81</v>
      </c>
      <c r="H6" s="36">
        <f t="shared" si="0"/>
        <v>0.36247785267475996</v>
      </c>
      <c r="I6" s="44">
        <f t="shared" si="1"/>
        <v>0.36247785267475996</v>
      </c>
      <c r="J6" s="19"/>
      <c r="K6" s="20"/>
      <c r="L6" s="15">
        <f>SUMIF('Payment Report'!L:L,E6,'Payment Report'!K:K)</f>
        <v>-7433270.2499999991</v>
      </c>
      <c r="M6" s="15">
        <f>SUMIF('Indigent Write-Offs'!J:J,E6,'Indigent Write-Offs'!I:I)</f>
        <v>-945466.84</v>
      </c>
      <c r="N6" s="15">
        <f>SUMIF(Prescription!J:J,E6,Prescription!I:I)</f>
        <v>-9026862.8399999999</v>
      </c>
      <c r="O6" s="20">
        <f t="shared" si="2"/>
        <v>2539059.4300000006</v>
      </c>
      <c r="P6" s="15">
        <f>SUMIF('Payment Report'!L:L,E6,'Payment Report'!E:E)</f>
        <v>-186938.57</v>
      </c>
    </row>
    <row r="7" spans="2:16" ht="15.6" customHeight="1" x14ac:dyDescent="0.3">
      <c r="B7" s="13" t="s">
        <v>35</v>
      </c>
      <c r="C7" s="13" t="s">
        <v>165</v>
      </c>
      <c r="E7" s="43" t="s">
        <v>168</v>
      </c>
      <c r="F7" s="35">
        <f>SUMIF('Payment Report'!L:L,E7,'Payment Report'!C:C)+SUMIF('Payment Report'!L:L,E7,'Payment Report'!F:F)+SUMIF('Payment Report'!L:L,E7,'Payment Report'!G:G)-SUMIF('Indigent Write-Offs'!J:J,'Collection Rate'!E7,'Indigent Write-Offs'!I:I)-SUMIF(Prescription!J:J,'Collection Rate'!E7,Prescription!I:I)+SUMIF('Payment Report'!L:L,E7,'Payment Report'!I:I)+SUMIF('Payment Report'!L:L,E7,'Payment Report'!E:E)+SUMIF('Payment Report'!L:L,E7,'Payment Report'!H:H)</f>
        <v>5357838.2700000023</v>
      </c>
      <c r="G7" s="35">
        <f>-SUMIF('Payment Report'!L:L,E7,'Payment Report'!D:D)</f>
        <v>2957932.44</v>
      </c>
      <c r="H7" s="36">
        <f t="shared" si="0"/>
        <v>0.55207572362948509</v>
      </c>
      <c r="I7" s="44">
        <f t="shared" si="1"/>
        <v>0.55207572362948509</v>
      </c>
      <c r="J7" s="19"/>
      <c r="K7" s="20"/>
      <c r="L7" s="15">
        <f>SUMIF('Payment Report'!L:L,E7,'Payment Report'!K:K)</f>
        <v>-12480616.310000001</v>
      </c>
      <c r="M7" s="15">
        <f>SUMIF('Indigent Write-Offs'!J:J,E7,'Indigent Write-Offs'!I:I)</f>
        <v>-7063193.1200000001</v>
      </c>
      <c r="N7" s="15">
        <f>SUMIF(Prescription!J:J,E7,Prescription!I:I)</f>
        <v>-10775261.460000001</v>
      </c>
      <c r="O7" s="20">
        <f t="shared" si="2"/>
        <v>5357838.2700000005</v>
      </c>
      <c r="P7" s="15">
        <f>SUMIF('Payment Report'!L:L,E7,'Payment Report'!E:E)</f>
        <v>-182401.81999999998</v>
      </c>
    </row>
    <row r="8" spans="2:16" ht="15.6" customHeight="1" thickBot="1" x14ac:dyDescent="0.35">
      <c r="B8" s="13" t="s">
        <v>36</v>
      </c>
      <c r="C8" s="13" t="s">
        <v>165</v>
      </c>
      <c r="E8" s="45" t="s">
        <v>169</v>
      </c>
      <c r="F8" s="46">
        <f>SUMIF('Payment Report'!L:L,E8,'Payment Report'!C:C)+SUMIF('Payment Report'!L:L,E8,'Payment Report'!F:F)+SUMIF('Payment Report'!L:L,E8,'Payment Report'!G:G)-SUMIF('Indigent Write-Offs'!J:J,'Collection Rate'!E8,'Indigent Write-Offs'!I:I)-SUMIF(Prescription!J:J,'Collection Rate'!E8,Prescription!I:I)+SUMIF('Payment Report'!L:L,E8,'Payment Report'!I:I)+SUMIF('Payment Report'!L:L,E8,'Payment Report'!E:E)+SUMIF('Payment Report'!L:L,E8,'Payment Report'!H:H)</f>
        <v>2484234.9500000002</v>
      </c>
      <c r="G8" s="46">
        <f>-SUMIF('Payment Report'!L:L,E8,'Payment Report'!D:D)</f>
        <v>1008457.61</v>
      </c>
      <c r="H8" s="47">
        <f t="shared" si="0"/>
        <v>0.40594292822424061</v>
      </c>
      <c r="I8" s="48">
        <f t="shared" si="1"/>
        <v>0.40594292822424061</v>
      </c>
      <c r="J8" s="19"/>
      <c r="K8" s="20"/>
      <c r="L8" s="15">
        <f>SUMIF('Payment Report'!L:L,E8,'Payment Report'!K:K)</f>
        <v>-7270221.6399999987</v>
      </c>
      <c r="M8" s="15">
        <f>SUMIF('Indigent Write-Offs'!J:J,E8,'Indigent Write-Offs'!I:I)</f>
        <v>-914175.36</v>
      </c>
      <c r="N8" s="15">
        <f>SUMIF(Prescription!J:J,E8,Prescription!I:I)</f>
        <v>-8840281.2299999986</v>
      </c>
      <c r="O8" s="20">
        <f t="shared" si="2"/>
        <v>2484234.9500000002</v>
      </c>
      <c r="P8" s="15">
        <f>SUMIF('Payment Report'!L:L,E8,'Payment Report'!E:E)</f>
        <v>-144433.1</v>
      </c>
    </row>
    <row r="9" spans="2:16" ht="15.6" hidden="1" customHeight="1" x14ac:dyDescent="0.3">
      <c r="B9" s="13" t="s">
        <v>37</v>
      </c>
      <c r="C9" s="13" t="s">
        <v>165</v>
      </c>
      <c r="E9" s="38" t="s">
        <v>170</v>
      </c>
      <c r="F9" s="39">
        <f>SUMIF('Payment Report'!L:L,E9,'Payment Report'!C:C)+SUMIF('Payment Report'!L:L,E9,'Payment Report'!F:F)+SUMIF('Payment Report'!L:L,E9,'Payment Report'!G:G)-SUMIF('Indigent Write-Offs'!J:J,'Collection Rate'!E9,'Indigent Write-Offs'!I:I)-SUMIF(Prescription!J:J,'Collection Rate'!E9,Prescription!I:I)+SUMIF('Payment Report'!L:L,E9,'Payment Report'!I:I)+SUMIF('Payment Report'!L:L,E9,'Payment Report'!E:E)+SUMIF('Payment Report'!L:L,E9,'Payment Report'!H:H)</f>
        <v>1807561.2399999998</v>
      </c>
      <c r="G9" s="40">
        <f>-SUMIF('Payment Report'!L:L,E9,'Payment Report'!D:D)</f>
        <v>4752368.71</v>
      </c>
      <c r="H9" s="41"/>
      <c r="I9" s="42"/>
      <c r="J9" s="19"/>
      <c r="K9" s="20"/>
      <c r="L9" s="15">
        <f>SUMIF('Payment Report'!L:L,E9,'Payment Report'!K:K)</f>
        <v>1807561.2400000002</v>
      </c>
    </row>
    <row r="10" spans="2:16" ht="15.6" customHeight="1" thickBot="1" x14ac:dyDescent="0.35">
      <c r="B10" s="13" t="s">
        <v>38</v>
      </c>
      <c r="C10" s="13" t="s">
        <v>165</v>
      </c>
      <c r="F10" s="34">
        <f>SUM(F3:F9)</f>
        <v>32322570.470000003</v>
      </c>
      <c r="G10" s="34">
        <f>SUM(G3:G9)</f>
        <v>25843887.859999999</v>
      </c>
      <c r="I10" s="19"/>
      <c r="K10" s="20"/>
      <c r="L10" s="20">
        <f>SUM(L3:L9)</f>
        <v>-9467560.339999998</v>
      </c>
    </row>
    <row r="11" spans="2:16" ht="15.6" customHeight="1" thickTop="1" x14ac:dyDescent="0.3">
      <c r="B11" s="13" t="s">
        <v>39</v>
      </c>
      <c r="C11" s="13" t="s">
        <v>165</v>
      </c>
      <c r="E11"/>
      <c r="G11" s="37">
        <f>G10/F10</f>
        <v>0.79956165256061074</v>
      </c>
      <c r="I11" s="19"/>
      <c r="K11" s="20"/>
      <c r="L11" s="15">
        <v>11269448.880000001</v>
      </c>
    </row>
    <row r="12" spans="2:16" ht="15.6" customHeight="1" x14ac:dyDescent="0.3">
      <c r="B12" s="13" t="s">
        <v>40</v>
      </c>
      <c r="C12" s="13" t="s">
        <v>165</v>
      </c>
      <c r="E12"/>
      <c r="F12" s="24"/>
      <c r="G12" s="24"/>
      <c r="I12" s="20"/>
    </row>
    <row r="13" spans="2:16" ht="15.6" customHeight="1" x14ac:dyDescent="0.3">
      <c r="B13" s="13" t="s">
        <v>41</v>
      </c>
      <c r="C13" s="13" t="s">
        <v>165</v>
      </c>
      <c r="E13" s="27" t="s">
        <v>171</v>
      </c>
      <c r="F13" s="28"/>
      <c r="G13" s="29">
        <f>F28</f>
        <v>3307112.0578410961</v>
      </c>
    </row>
    <row r="14" spans="2:16" ht="15.6" customHeight="1" x14ac:dyDescent="0.3">
      <c r="B14" s="13" t="s">
        <v>42</v>
      </c>
      <c r="C14" s="13" t="s">
        <v>165</v>
      </c>
      <c r="E14" s="30"/>
      <c r="F14" s="31"/>
      <c r="G14" s="32"/>
      <c r="I14" s="20"/>
    </row>
    <row r="15" spans="2:16" ht="15.6" customHeight="1" thickBot="1" x14ac:dyDescent="0.35">
      <c r="B15" s="13" t="s">
        <v>43</v>
      </c>
      <c r="C15" s="13" t="s">
        <v>165</v>
      </c>
      <c r="E15"/>
      <c r="F15" s="26"/>
      <c r="G15" s="24"/>
    </row>
    <row r="16" spans="2:16" ht="34.200000000000003" customHeight="1" x14ac:dyDescent="0.3">
      <c r="B16" s="13" t="s">
        <v>44</v>
      </c>
      <c r="C16" s="13" t="s">
        <v>165</v>
      </c>
      <c r="E16" s="49" t="s">
        <v>176</v>
      </c>
      <c r="F16" s="50" t="s">
        <v>172</v>
      </c>
      <c r="G16" s="50" t="s">
        <v>173</v>
      </c>
      <c r="H16" s="51" t="s">
        <v>174</v>
      </c>
      <c r="I16" s="52" t="s">
        <v>175</v>
      </c>
    </row>
    <row r="17" spans="2:14" ht="15.6" customHeight="1" x14ac:dyDescent="0.3">
      <c r="B17" s="13" t="s">
        <v>45</v>
      </c>
      <c r="C17" s="13" t="s">
        <v>165</v>
      </c>
      <c r="E17" s="43" t="s">
        <v>164</v>
      </c>
      <c r="F17" s="35">
        <f>SUMIF('Payment Report'!L:L,E17,'Payment Report'!C:C)+SUMIF('Payment Report'!L:L,E17,'Payment Report'!F:F)+SUMIF('Payment Report'!L:L,E17,'Payment Report'!G:G)-SUMIF('Indigent Write-Offs'!J:J,'Collection Rate'!E17,'Indigent Write-Offs'!I:I)-SUMIF(Prescription!J:J,'Collection Rate'!E17,Prescription!I:I)+SUMIF('Payment Report'!L:L,E17,'Payment Report'!I:I)+SUMIF('Payment Report'!L:L,E17,'Payment Report'!E:E)+SUMIF('Payment Report'!L:L,E17,'Payment Report'!H:H)</f>
        <v>14389331.4</v>
      </c>
      <c r="G17" s="35">
        <f>-SUMIF('Payment Report'!L:L,E17,'Payment Report'!D:D)</f>
        <v>12558060.329999998</v>
      </c>
      <c r="H17" s="36">
        <v>0.87273410980026478</v>
      </c>
      <c r="I17" s="44">
        <f>SUM(G17+K17)/F17</f>
        <v>0.87273410980026478</v>
      </c>
    </row>
    <row r="18" spans="2:14" ht="15.6" customHeight="1" x14ac:dyDescent="0.3">
      <c r="B18" s="13" t="s">
        <v>46</v>
      </c>
      <c r="C18" s="13" t="s">
        <v>165</v>
      </c>
      <c r="E18" s="43" t="s">
        <v>167</v>
      </c>
      <c r="F18" s="35">
        <f>SUMIF('Payment Report'!L:L,E18,'Payment Report'!C:C)+SUMIF('Payment Report'!L:L,E18,'Payment Report'!F:F)+SUMIF('Payment Report'!L:L,E18,'Payment Report'!G:G)-SUMIF('Indigent Write-Offs'!J:J,'Collection Rate'!E18,'Indigent Write-Offs'!I:I)-SUMIF(Prescription!J:J,'Collection Rate'!E18,Prescription!I:I)+SUMIF('Payment Report'!L:L,E18,'Payment Report'!I:I)+SUMIF('Payment Report'!L:L,E18,'Payment Report'!E:E)+SUMIF('Payment Report'!L:L,E18,'Payment Report'!H:H)</f>
        <v>197604.92000000004</v>
      </c>
      <c r="G18" s="35">
        <f>-SUMIF('Payment Report'!L:L,E18,'Payment Report'!D:D)</f>
        <v>172094.4</v>
      </c>
      <c r="H18" s="36">
        <v>0.87090139253617749</v>
      </c>
      <c r="I18" s="44">
        <f t="shared" ref="I18:I22" si="3">SUM(G18+K18)/F18</f>
        <v>0.87090139253617749</v>
      </c>
    </row>
    <row r="19" spans="2:14" ht="15.6" customHeight="1" x14ac:dyDescent="0.3">
      <c r="B19" s="13" t="s">
        <v>47</v>
      </c>
      <c r="C19" s="13" t="s">
        <v>165</v>
      </c>
      <c r="E19" s="43" t="s">
        <v>165</v>
      </c>
      <c r="F19" s="35">
        <f>SUMIF('Payment Report'!L:L,E19,'Payment Report'!C:C)+SUMIF('Payment Report'!L:L,E19,'Payment Report'!F:F)+SUMIF('Payment Report'!L:L,E19,'Payment Report'!G:G)-SUMIF('Indigent Write-Offs'!J:J,'Collection Rate'!E19,'Indigent Write-Offs'!I:I)-SUMIF(Prescription!J:J,'Collection Rate'!E19,Prescription!I:I)+SUMIF('Payment Report'!L:L,E19,'Payment Report'!I:I)+SUMIF('Payment Report'!L:L,E19,'Payment Report'!E:E)+SUMIF('Payment Report'!L:L,E19,'Payment Report'!H:H)</f>
        <v>5546940.2600000007</v>
      </c>
      <c r="G19" s="35">
        <f>-SUMIF('Payment Report'!L:L,E19,'Payment Report'!D:D)+F28</f>
        <v>6781733.6178410957</v>
      </c>
      <c r="H19" s="36">
        <v>0.62640327768736404</v>
      </c>
      <c r="I19" s="44">
        <f t="shared" si="3"/>
        <v>1.222608014502232</v>
      </c>
      <c r="N19" s="15">
        <v>4548532</v>
      </c>
    </row>
    <row r="20" spans="2:14" ht="15.6" customHeight="1" thickBot="1" x14ac:dyDescent="0.35">
      <c r="B20" s="13" t="s">
        <v>48</v>
      </c>
      <c r="C20" s="13" t="s">
        <v>165</v>
      </c>
      <c r="E20" s="43" t="s">
        <v>166</v>
      </c>
      <c r="F20" s="35">
        <f>SUMIF('Payment Report'!L:L,E20,'Payment Report'!C:C)+SUMIF('Payment Report'!L:L,E20,'Payment Report'!F:F)+SUMIF('Payment Report'!L:L,E20,'Payment Report'!G:G)-SUMIF('Indigent Write-Offs'!J:J,'Collection Rate'!E20,'Indigent Write-Offs'!I:I)-SUMIF(Prescription!J:J,'Collection Rate'!E20,Prescription!I:I)+SUMIF('Payment Report'!L:L,E20,'Payment Report'!I:I)+SUMIF('Payment Report'!L:L,E20,'Payment Report'!E:E)+SUMIF('Payment Report'!L:L,E20,'Payment Report'!H:H)</f>
        <v>2539059.4300000002</v>
      </c>
      <c r="G20" s="35">
        <f>-SUMIF('Payment Report'!L:L,E20,'Payment Report'!D:D)</f>
        <v>920352.81</v>
      </c>
      <c r="H20" s="36">
        <v>0.36247785267475996</v>
      </c>
      <c r="I20" s="44">
        <f t="shared" si="3"/>
        <v>0.36247785267475996</v>
      </c>
      <c r="N20" s="57">
        <f>N19*1.15</f>
        <v>5230811.8</v>
      </c>
    </row>
    <row r="21" spans="2:14" ht="15.6" customHeight="1" thickTop="1" x14ac:dyDescent="0.3">
      <c r="B21" s="13" t="s">
        <v>49</v>
      </c>
      <c r="C21" s="13" t="s">
        <v>165</v>
      </c>
      <c r="E21" s="43" t="s">
        <v>168</v>
      </c>
      <c r="F21" s="35">
        <f>SUMIF('Payment Report'!L:L,E21,'Payment Report'!C:C)+SUMIF('Payment Report'!L:L,E21,'Payment Report'!F:F)+SUMIF('Payment Report'!L:L,E21,'Payment Report'!G:G)-SUMIF('Indigent Write-Offs'!J:J,'Collection Rate'!E21,'Indigent Write-Offs'!I:I)-SUMIF(Prescription!J:J,'Collection Rate'!E21,Prescription!I:I)+SUMIF('Payment Report'!L:L,E21,'Payment Report'!I:I)+SUMIF('Payment Report'!L:L,E21,'Payment Report'!E:E)+SUMIF('Payment Report'!L:L,E21,'Payment Report'!H:H)</f>
        <v>5357838.2700000023</v>
      </c>
      <c r="G21" s="35">
        <f>-SUMIF('Payment Report'!L:L,E21,'Payment Report'!D:D)</f>
        <v>2957932.44</v>
      </c>
      <c r="H21" s="36">
        <v>0.55207572362948509</v>
      </c>
      <c r="I21" s="44">
        <f t="shared" si="3"/>
        <v>0.55207572362948509</v>
      </c>
    </row>
    <row r="22" spans="2:14" ht="15.6" customHeight="1" thickBot="1" x14ac:dyDescent="0.35">
      <c r="B22" s="13" t="s">
        <v>50</v>
      </c>
      <c r="C22" s="13" t="s">
        <v>165</v>
      </c>
      <c r="E22" s="45" t="s">
        <v>169</v>
      </c>
      <c r="F22" s="46">
        <f>SUMIF('Payment Report'!L:L,E22,'Payment Report'!C:C)+SUMIF('Payment Report'!L:L,E22,'Payment Report'!F:F)+SUMIF('Payment Report'!L:L,E22,'Payment Report'!G:G)-SUMIF('Indigent Write-Offs'!J:J,'Collection Rate'!E22,'Indigent Write-Offs'!I:I)-SUMIF(Prescription!J:J,'Collection Rate'!E22,Prescription!I:I)+SUMIF('Payment Report'!L:L,E22,'Payment Report'!I:I)+SUMIF('Payment Report'!L:L,E22,'Payment Report'!E:E)+SUMIF('Payment Report'!L:L,E22,'Payment Report'!H:H)</f>
        <v>2484234.9500000002</v>
      </c>
      <c r="G22" s="46">
        <f>-SUMIF('Payment Report'!L:L,E22,'Payment Report'!D:D)</f>
        <v>1008457.61</v>
      </c>
      <c r="H22" s="47">
        <v>0.40594292822424061</v>
      </c>
      <c r="I22" s="48">
        <f t="shared" si="3"/>
        <v>0.40594292822424061</v>
      </c>
    </row>
    <row r="23" spans="2:14" ht="15.6" hidden="1" customHeight="1" x14ac:dyDescent="0.3">
      <c r="B23" s="13" t="s">
        <v>51</v>
      </c>
      <c r="C23" s="13" t="s">
        <v>165</v>
      </c>
      <c r="E23" s="38" t="s">
        <v>170</v>
      </c>
      <c r="F23" s="39"/>
      <c r="G23" s="40"/>
      <c r="H23" s="41"/>
      <c r="I23" s="42"/>
    </row>
    <row r="24" spans="2:14" ht="15.6" customHeight="1" thickBot="1" x14ac:dyDescent="0.35">
      <c r="B24" s="13" t="s">
        <v>52</v>
      </c>
      <c r="C24" s="13" t="s">
        <v>165</v>
      </c>
      <c r="F24" s="34">
        <f>SUM(F17:F23)</f>
        <v>30515009.230000004</v>
      </c>
      <c r="G24" s="34">
        <f>SUM(G17:G23)</f>
        <v>24398631.207841095</v>
      </c>
      <c r="I24" s="19"/>
    </row>
    <row r="25" spans="2:14" ht="15.6" customHeight="1" thickTop="1" x14ac:dyDescent="0.3">
      <c r="B25" s="13" t="s">
        <v>53</v>
      </c>
      <c r="C25" s="13" t="s">
        <v>165</v>
      </c>
      <c r="E25" s="16"/>
      <c r="F25" s="53" t="s">
        <v>177</v>
      </c>
      <c r="G25" s="54">
        <f>G24/F24</f>
        <v>0.79956165256061074</v>
      </c>
      <c r="H25" s="55"/>
      <c r="I25" s="56"/>
    </row>
    <row r="26" spans="2:14" ht="15.6" customHeight="1" x14ac:dyDescent="0.3">
      <c r="B26" s="13" t="s">
        <v>54</v>
      </c>
      <c r="C26" s="13" t="s">
        <v>165</v>
      </c>
      <c r="E26" s="53" t="s">
        <v>178</v>
      </c>
      <c r="F26" s="53" t="s">
        <v>177</v>
      </c>
      <c r="G26" s="54">
        <v>0.69120000000000004</v>
      </c>
      <c r="H26" s="55"/>
      <c r="I26" s="55"/>
    </row>
    <row r="27" spans="2:14" ht="15.6" customHeight="1" x14ac:dyDescent="0.3">
      <c r="B27" s="13" t="s">
        <v>55</v>
      </c>
      <c r="C27" s="13" t="s">
        <v>165</v>
      </c>
      <c r="E27"/>
      <c r="F27" s="20">
        <v>24398631.207841095</v>
      </c>
    </row>
    <row r="28" spans="2:14" ht="15.6" customHeight="1" x14ac:dyDescent="0.3">
      <c r="B28" s="13" t="s">
        <v>56</v>
      </c>
      <c r="C28" s="13" t="s">
        <v>165</v>
      </c>
      <c r="E28"/>
      <c r="F28" s="20">
        <v>3307112.0578410961</v>
      </c>
    </row>
    <row r="29" spans="2:14" ht="15.6" customHeight="1" x14ac:dyDescent="0.3">
      <c r="B29" s="13" t="s">
        <v>57</v>
      </c>
      <c r="C29" s="13" t="s">
        <v>165</v>
      </c>
      <c r="E29" s="27" t="s">
        <v>171</v>
      </c>
      <c r="F29" s="28"/>
      <c r="G29" s="29">
        <f>G13</f>
        <v>3307112.0578410961</v>
      </c>
    </row>
    <row r="30" spans="2:14" ht="15.6" customHeight="1" x14ac:dyDescent="0.3">
      <c r="B30" s="13" t="s">
        <v>58</v>
      </c>
      <c r="C30" s="13" t="s">
        <v>166</v>
      </c>
      <c r="E30" s="58"/>
      <c r="F30" s="59"/>
      <c r="G30" s="60"/>
      <c r="I30" s="20"/>
    </row>
    <row r="31" spans="2:14" ht="15" customHeight="1" x14ac:dyDescent="0.3">
      <c r="B31" s="13" t="s">
        <v>59</v>
      </c>
      <c r="C31" s="13" t="s">
        <v>167</v>
      </c>
      <c r="D31" s="24"/>
      <c r="E31" s="65"/>
      <c r="F31" s="26"/>
      <c r="G31" s="24"/>
      <c r="H31" s="24"/>
      <c r="I31" s="24"/>
      <c r="J31" s="24"/>
    </row>
    <row r="32" spans="2:14" ht="35.4" customHeight="1" x14ac:dyDescent="0.3">
      <c r="B32" s="13" t="s">
        <v>60</v>
      </c>
      <c r="C32" s="13" t="s">
        <v>168</v>
      </c>
      <c r="E32" s="61" t="s">
        <v>176</v>
      </c>
      <c r="F32" s="62" t="s">
        <v>172</v>
      </c>
      <c r="G32" s="62" t="s">
        <v>173</v>
      </c>
      <c r="H32" s="63" t="s">
        <v>174</v>
      </c>
      <c r="I32" s="64" t="s">
        <v>175</v>
      </c>
    </row>
    <row r="33" spans="2:9" ht="15.6" customHeight="1" x14ac:dyDescent="0.3">
      <c r="B33" s="13" t="s">
        <v>61</v>
      </c>
      <c r="C33" s="13" t="s">
        <v>169</v>
      </c>
      <c r="E33" s="43" t="s">
        <v>164</v>
      </c>
      <c r="F33" s="35">
        <f>SUMIF('Payment Report'!L:L,E33,'Payment Report'!C:C)+SUMIF('Payment Report'!L:L,E33,'Payment Report'!F:F)+SUMIF('Payment Report'!L:L,E33,'Payment Report'!G:G)-SUMIF('Indigent Write-Offs'!J:J,'Collection Rate'!E33,'Indigent Write-Offs'!I:I)-SUMIF(Prescription!J:J,'Collection Rate'!E33,Prescription!I:I)+SUMIF('Payment Report'!L:L,E33,'Payment Report'!I:I)+SUMIF('Payment Report'!L:L,E33,'Payment Report'!E:E)+SUMIF('Payment Report'!L:L,E33,'Payment Report'!H:H)+N20</f>
        <v>19620143.199999999</v>
      </c>
      <c r="G33" s="35">
        <f>-SUMIF('Payment Report'!L:L,E33,'Payment Report'!D:D)+N20</f>
        <v>17788872.129999999</v>
      </c>
      <c r="H33" s="36">
        <v>0.87273410980026478</v>
      </c>
      <c r="I33" s="44">
        <f>SUM(G33+K33)/F33</f>
        <v>0.90666372557362374</v>
      </c>
    </row>
    <row r="34" spans="2:9" ht="15.6" customHeight="1" x14ac:dyDescent="0.3">
      <c r="B34" s="13" t="s">
        <v>62</v>
      </c>
      <c r="C34" s="13" t="s">
        <v>167</v>
      </c>
      <c r="E34" s="43" t="s">
        <v>167</v>
      </c>
      <c r="F34" s="35">
        <f>SUMIF('Payment Report'!L:L,E34,'Payment Report'!C:C)+SUMIF('Payment Report'!L:L,E34,'Payment Report'!F:F)+SUMIF('Payment Report'!L:L,E34,'Payment Report'!G:G)-SUMIF('Indigent Write-Offs'!J:J,'Collection Rate'!E34,'Indigent Write-Offs'!I:I)-SUMIF(Prescription!J:J,'Collection Rate'!E34,Prescription!I:I)+SUMIF('Payment Report'!L:L,E34,'Payment Report'!I:I)+SUMIF('Payment Report'!L:L,E34,'Payment Report'!E:E)+SUMIF('Payment Report'!L:L,E34,'Payment Report'!H:H)</f>
        <v>197604.92000000004</v>
      </c>
      <c r="G34" s="35">
        <f>-SUMIF('Payment Report'!L:L,E34,'Payment Report'!D:D)</f>
        <v>172094.4</v>
      </c>
      <c r="H34" s="36">
        <v>0.87090139253617749</v>
      </c>
      <c r="I34" s="44">
        <f t="shared" ref="I34:I38" si="4">SUM(G34+K34)/F34</f>
        <v>0.87090139253617749</v>
      </c>
    </row>
    <row r="35" spans="2:9" ht="15.6" customHeight="1" x14ac:dyDescent="0.3">
      <c r="B35" s="13" t="s">
        <v>63</v>
      </c>
      <c r="C35" s="13" t="s">
        <v>168</v>
      </c>
      <c r="E35" s="43" t="s">
        <v>165</v>
      </c>
      <c r="F35" s="35">
        <f>SUMIF('Payment Report'!L:L,E35,'Payment Report'!C:C)+SUMIF('Payment Report'!L:L,E35,'Payment Report'!F:F)+SUMIF('Payment Report'!L:L,E35,'Payment Report'!G:G)-SUMIF('Indigent Write-Offs'!J:J,'Collection Rate'!E35,'Indigent Write-Offs'!I:I)-SUMIF(Prescription!J:J,'Collection Rate'!E35,Prescription!I:I)+SUMIF('Payment Report'!L:L,E35,'Payment Report'!I:I)+SUMIF('Payment Report'!L:L,E35,'Payment Report'!E:E)+SUMIF('Payment Report'!L:L,E35,'Payment Report'!H:H)</f>
        <v>5546940.2600000007</v>
      </c>
      <c r="G35" s="35">
        <f>-SUMIF('Payment Report'!L:L,E35,'Payment Report'!D:D)+G29</f>
        <v>6781733.6178410957</v>
      </c>
      <c r="H35" s="36">
        <v>0.62640327768736404</v>
      </c>
      <c r="I35" s="44">
        <f t="shared" si="4"/>
        <v>1.222608014502232</v>
      </c>
    </row>
    <row r="36" spans="2:9" ht="15.6" customHeight="1" x14ac:dyDescent="0.3">
      <c r="B36" s="13" t="s">
        <v>64</v>
      </c>
      <c r="C36" s="13" t="s">
        <v>170</v>
      </c>
      <c r="E36" s="43" t="s">
        <v>166</v>
      </c>
      <c r="F36" s="35">
        <f>SUMIF('Payment Report'!L:L,E36,'Payment Report'!C:C)+SUMIF('Payment Report'!L:L,E36,'Payment Report'!F:F)+SUMIF('Payment Report'!L:L,E36,'Payment Report'!G:G)-SUMIF('Indigent Write-Offs'!J:J,'Collection Rate'!E36,'Indigent Write-Offs'!I:I)-SUMIF(Prescription!J:J,'Collection Rate'!E36,Prescription!I:I)+SUMIF('Payment Report'!L:L,E36,'Payment Report'!I:I)+SUMIF('Payment Report'!L:L,E36,'Payment Report'!E:E)+SUMIF('Payment Report'!L:L,E36,'Payment Report'!H:H)</f>
        <v>2539059.4300000002</v>
      </c>
      <c r="G36" s="35">
        <f>-SUMIF('Payment Report'!L:L,E36,'Payment Report'!D:D)</f>
        <v>920352.81</v>
      </c>
      <c r="H36" s="36">
        <v>0.36247785267475996</v>
      </c>
      <c r="I36" s="44">
        <f t="shared" si="4"/>
        <v>0.36247785267475996</v>
      </c>
    </row>
    <row r="37" spans="2:9" ht="15.6" customHeight="1" x14ac:dyDescent="0.3">
      <c r="E37" s="43" t="s">
        <v>168</v>
      </c>
      <c r="F37" s="35">
        <f>SUMIF('Payment Report'!L:L,E37,'Payment Report'!C:C)+SUMIF('Payment Report'!L:L,E37,'Payment Report'!F:F)+SUMIF('Payment Report'!L:L,E37,'Payment Report'!G:G)-SUMIF('Indigent Write-Offs'!J:J,'Collection Rate'!E37,'Indigent Write-Offs'!I:I)-SUMIF(Prescription!J:J,'Collection Rate'!E37,Prescription!I:I)+SUMIF('Payment Report'!L:L,E37,'Payment Report'!I:I)+SUMIF('Payment Report'!L:L,E37,'Payment Report'!E:E)+SUMIF('Payment Report'!L:L,E37,'Payment Report'!H:H)</f>
        <v>5357838.2700000023</v>
      </c>
      <c r="G37" s="35">
        <f>-SUMIF('Payment Report'!L:L,E37,'Payment Report'!D:D)</f>
        <v>2957932.44</v>
      </c>
      <c r="H37" s="36">
        <v>0.55207572362948509</v>
      </c>
      <c r="I37" s="44">
        <f t="shared" si="4"/>
        <v>0.55207572362948509</v>
      </c>
    </row>
    <row r="38" spans="2:9" ht="15.6" customHeight="1" thickBot="1" x14ac:dyDescent="0.35">
      <c r="E38" s="45" t="s">
        <v>169</v>
      </c>
      <c r="F38" s="46">
        <f>SUMIF('Payment Report'!L:L,E38,'Payment Report'!C:C)+SUMIF('Payment Report'!L:L,E38,'Payment Report'!F:F)+SUMIF('Payment Report'!L:L,E38,'Payment Report'!G:G)-SUMIF('Indigent Write-Offs'!J:J,'Collection Rate'!E38,'Indigent Write-Offs'!I:I)-SUMIF(Prescription!J:J,'Collection Rate'!E38,Prescription!I:I)+SUMIF('Payment Report'!L:L,E38,'Payment Report'!I:I)+SUMIF('Payment Report'!L:L,E38,'Payment Report'!E:E)+SUMIF('Payment Report'!L:L,E38,'Payment Report'!H:H)</f>
        <v>2484234.9500000002</v>
      </c>
      <c r="G38" s="46">
        <f>-SUMIF('Payment Report'!L:L,E38,'Payment Report'!D:D)</f>
        <v>1008457.61</v>
      </c>
      <c r="H38" s="47">
        <v>0.40594292822424061</v>
      </c>
      <c r="I38" s="48">
        <f t="shared" si="4"/>
        <v>0.40594292822424061</v>
      </c>
    </row>
    <row r="39" spans="2:9" ht="15.6" customHeight="1" x14ac:dyDescent="0.3">
      <c r="E39" s="38" t="s">
        <v>170</v>
      </c>
      <c r="F39" s="39"/>
      <c r="G39" s="40"/>
      <c r="H39" s="41"/>
      <c r="I39" s="42"/>
    </row>
    <row r="40" spans="2:9" ht="15.6" customHeight="1" thickBot="1" x14ac:dyDescent="0.35">
      <c r="F40" s="34">
        <f>SUM(F33:F39)</f>
        <v>35745821.030000009</v>
      </c>
      <c r="G40" s="34">
        <f>SUM(G33:G39)</f>
        <v>29629443.007841092</v>
      </c>
      <c r="I40" s="19"/>
    </row>
    <row r="41" spans="2:9" ht="15.6" customHeight="1" thickTop="1" x14ac:dyDescent="0.3">
      <c r="E41" s="16"/>
      <c r="F41" s="53" t="s">
        <v>177</v>
      </c>
      <c r="G41" s="54">
        <f>G40/F40</f>
        <v>0.82889250139126225</v>
      </c>
      <c r="H41" s="55"/>
      <c r="I41" s="56"/>
    </row>
    <row r="42" spans="2:9" ht="15.6" customHeight="1" x14ac:dyDescent="0.3">
      <c r="E42" s="53"/>
      <c r="F42" s="53"/>
      <c r="G42" s="54"/>
      <c r="H42" s="55"/>
      <c r="I42" s="55"/>
    </row>
    <row r="43" spans="2:9" ht="15.6" customHeight="1" x14ac:dyDescent="0.3">
      <c r="E43"/>
    </row>
    <row r="44" spans="2:9" ht="15.6" customHeight="1" x14ac:dyDescent="0.3">
      <c r="E44"/>
    </row>
    <row r="45" spans="2:9" ht="15.6" customHeight="1" x14ac:dyDescent="0.3">
      <c r="E45"/>
    </row>
    <row r="46" spans="2:9" ht="15.6" customHeight="1" x14ac:dyDescent="0.3">
      <c r="E46"/>
    </row>
    <row r="47" spans="2:9" ht="15.6" customHeight="1" x14ac:dyDescent="0.3">
      <c r="E47"/>
    </row>
    <row r="48" spans="2:9" ht="15.6" customHeight="1" x14ac:dyDescent="0.3">
      <c r="E48"/>
    </row>
    <row r="49" spans="5:5" ht="15.6" customHeight="1" x14ac:dyDescent="0.3">
      <c r="E49"/>
    </row>
    <row r="50" spans="5:5" ht="15.6" customHeight="1" x14ac:dyDescent="0.3">
      <c r="E50"/>
    </row>
    <row r="51" spans="5:5" ht="15.6" customHeight="1" x14ac:dyDescent="0.3">
      <c r="E51"/>
    </row>
    <row r="52" spans="5:5" ht="15.6" customHeight="1" x14ac:dyDescent="0.3">
      <c r="E52"/>
    </row>
    <row r="53" spans="5:5" ht="15.6" customHeight="1" x14ac:dyDescent="0.3">
      <c r="E53"/>
    </row>
    <row r="54" spans="5:5" ht="15.6" customHeight="1" x14ac:dyDescent="0.3">
      <c r="E54"/>
    </row>
    <row r="55" spans="5:5" ht="15.6" customHeight="1" x14ac:dyDescent="0.3">
      <c r="E55"/>
    </row>
    <row r="56" spans="5:5" ht="15.6" customHeight="1" x14ac:dyDescent="0.3">
      <c r="E56"/>
    </row>
    <row r="57" spans="5:5" ht="15.6" customHeight="1" x14ac:dyDescent="0.3">
      <c r="E57"/>
    </row>
    <row r="58" spans="5:5" ht="15.6" customHeight="1" x14ac:dyDescent="0.3">
      <c r="E58"/>
    </row>
    <row r="59" spans="5:5" ht="15.6" customHeight="1" x14ac:dyDescent="0.3">
      <c r="E59"/>
    </row>
    <row r="60" spans="5:5" ht="15.6" customHeight="1" x14ac:dyDescent="0.3">
      <c r="E60"/>
    </row>
    <row r="61" spans="5:5" ht="15.6" customHeight="1" x14ac:dyDescent="0.3">
      <c r="E61"/>
    </row>
    <row r="62" spans="5:5" ht="15.6" customHeight="1" x14ac:dyDescent="0.3">
      <c r="E62"/>
    </row>
    <row r="63" spans="5:5" ht="15.6" customHeight="1" x14ac:dyDescent="0.3">
      <c r="E63"/>
    </row>
    <row r="64" spans="5:5" ht="15.6" customHeight="1" x14ac:dyDescent="0.3">
      <c r="E64"/>
    </row>
    <row r="65" spans="5:5" ht="15.6" customHeight="1" x14ac:dyDescent="0.3">
      <c r="E65"/>
    </row>
    <row r="66" spans="5:5" ht="15.6" customHeight="1" x14ac:dyDescent="0.3">
      <c r="E66"/>
    </row>
    <row r="67" spans="5:5" ht="15.6" customHeight="1" x14ac:dyDescent="0.3">
      <c r="E67"/>
    </row>
    <row r="68" spans="5:5" ht="15.6" customHeight="1" x14ac:dyDescent="0.3">
      <c r="E68"/>
    </row>
    <row r="69" spans="5:5" ht="15.6" customHeight="1" x14ac:dyDescent="0.3">
      <c r="E69"/>
    </row>
    <row r="70" spans="5:5" ht="15.6" customHeight="1" x14ac:dyDescent="0.3">
      <c r="E70"/>
    </row>
    <row r="71" spans="5:5" ht="15.6" customHeight="1" x14ac:dyDescent="0.3">
      <c r="E71"/>
    </row>
    <row r="72" spans="5:5" ht="15.6" customHeight="1" x14ac:dyDescent="0.3">
      <c r="E72"/>
    </row>
    <row r="73" spans="5:5" ht="15.6" customHeight="1" x14ac:dyDescent="0.3">
      <c r="E73"/>
    </row>
    <row r="74" spans="5:5" ht="15.6" customHeight="1" x14ac:dyDescent="0.3">
      <c r="E74"/>
    </row>
    <row r="75" spans="5:5" ht="15.6" customHeight="1" x14ac:dyDescent="0.3">
      <c r="E75"/>
    </row>
    <row r="76" spans="5:5" ht="15.6" customHeight="1" x14ac:dyDescent="0.3">
      <c r="E76"/>
    </row>
    <row r="77" spans="5:5" ht="15.6" customHeight="1" x14ac:dyDescent="0.3">
      <c r="E77"/>
    </row>
    <row r="78" spans="5:5" ht="15.6" customHeight="1" x14ac:dyDescent="0.3">
      <c r="E78"/>
    </row>
    <row r="79" spans="5:5" ht="15.6" customHeight="1" x14ac:dyDescent="0.3">
      <c r="E79"/>
    </row>
    <row r="80" spans="5:5" ht="15.6" customHeight="1" x14ac:dyDescent="0.3">
      <c r="E80"/>
    </row>
    <row r="81" spans="5:5" ht="15.6" customHeight="1" x14ac:dyDescent="0.3">
      <c r="E81"/>
    </row>
    <row r="82" spans="5:5" ht="15.6" customHeight="1" x14ac:dyDescent="0.3">
      <c r="E82"/>
    </row>
    <row r="83" spans="5:5" ht="15.6" customHeight="1" x14ac:dyDescent="0.3">
      <c r="E83"/>
    </row>
    <row r="84" spans="5:5" ht="15.6" customHeight="1" x14ac:dyDescent="0.3">
      <c r="E84"/>
    </row>
    <row r="85" spans="5:5" ht="15.6" customHeight="1" x14ac:dyDescent="0.3">
      <c r="E85"/>
    </row>
    <row r="86" spans="5:5" ht="15.6" customHeight="1" x14ac:dyDescent="0.3">
      <c r="E86"/>
    </row>
    <row r="87" spans="5:5" ht="15.6" customHeight="1" x14ac:dyDescent="0.3">
      <c r="E87"/>
    </row>
    <row r="88" spans="5:5" ht="15.6" customHeight="1" x14ac:dyDescent="0.3">
      <c r="E88"/>
    </row>
    <row r="89" spans="5:5" ht="15.6" customHeight="1" x14ac:dyDescent="0.3">
      <c r="E89"/>
    </row>
    <row r="90" spans="5:5" ht="15.6" customHeight="1" x14ac:dyDescent="0.3">
      <c r="E90"/>
    </row>
    <row r="91" spans="5:5" ht="15.6" customHeight="1" x14ac:dyDescent="0.3">
      <c r="E91"/>
    </row>
    <row r="92" spans="5:5" ht="15.6" customHeight="1" x14ac:dyDescent="0.3">
      <c r="E92"/>
    </row>
    <row r="93" spans="5:5" ht="15.6" customHeight="1" x14ac:dyDescent="0.3">
      <c r="E93"/>
    </row>
    <row r="94" spans="5:5" ht="15.6" customHeight="1" x14ac:dyDescent="0.3">
      <c r="E94"/>
    </row>
    <row r="95" spans="5:5" ht="15.6" customHeight="1" x14ac:dyDescent="0.3">
      <c r="E95"/>
    </row>
    <row r="96" spans="5:5" ht="15.6" customHeight="1" x14ac:dyDescent="0.3">
      <c r="E96"/>
    </row>
    <row r="97" spans="5:5" ht="15.6" customHeight="1" x14ac:dyDescent="0.3">
      <c r="E97"/>
    </row>
    <row r="98" spans="5:5" ht="15.6" customHeight="1" x14ac:dyDescent="0.3">
      <c r="E98"/>
    </row>
    <row r="99" spans="5:5" ht="15.6" customHeight="1" x14ac:dyDescent="0.3">
      <c r="E99"/>
    </row>
    <row r="100" spans="5:5" ht="15.6" customHeight="1" x14ac:dyDescent="0.3">
      <c r="E100"/>
    </row>
    <row r="101" spans="5:5" ht="15.6" customHeight="1" x14ac:dyDescent="0.3">
      <c r="E101"/>
    </row>
    <row r="102" spans="5:5" ht="15.6" customHeight="1" x14ac:dyDescent="0.3">
      <c r="E102"/>
    </row>
    <row r="103" spans="5:5" ht="15.6" customHeight="1" x14ac:dyDescent="0.3">
      <c r="E103"/>
    </row>
    <row r="104" spans="5:5" ht="15.6" customHeight="1" x14ac:dyDescent="0.3">
      <c r="E104"/>
    </row>
    <row r="105" spans="5:5" ht="15.6" customHeight="1" x14ac:dyDescent="0.3">
      <c r="E105"/>
    </row>
    <row r="106" spans="5:5" ht="15.6" customHeight="1" x14ac:dyDescent="0.3">
      <c r="E106"/>
    </row>
    <row r="107" spans="5:5" ht="15.6" customHeight="1" x14ac:dyDescent="0.3">
      <c r="E107"/>
    </row>
    <row r="108" spans="5:5" ht="15.6" customHeight="1" x14ac:dyDescent="0.3">
      <c r="E108"/>
    </row>
    <row r="109" spans="5:5" ht="15.6" customHeight="1" x14ac:dyDescent="0.3">
      <c r="E109"/>
    </row>
    <row r="110" spans="5:5" ht="15.6" customHeight="1" x14ac:dyDescent="0.3">
      <c r="E110"/>
    </row>
    <row r="111" spans="5:5" ht="15.6" customHeight="1" x14ac:dyDescent="0.3">
      <c r="E111"/>
    </row>
    <row r="112" spans="5:5" ht="15.6" customHeight="1" x14ac:dyDescent="0.3">
      <c r="E112"/>
    </row>
    <row r="113" spans="5:5" ht="15.6" customHeight="1" x14ac:dyDescent="0.3">
      <c r="E113"/>
    </row>
    <row r="114" spans="5:5" ht="15.6" customHeight="1" x14ac:dyDescent="0.3">
      <c r="E114"/>
    </row>
    <row r="115" spans="5:5" ht="15.6" customHeight="1" x14ac:dyDescent="0.3">
      <c r="E115"/>
    </row>
    <row r="116" spans="5:5" ht="15.6" customHeight="1" x14ac:dyDescent="0.3">
      <c r="E116"/>
    </row>
    <row r="117" spans="5:5" ht="15.6" customHeight="1" x14ac:dyDescent="0.3">
      <c r="E117"/>
    </row>
    <row r="118" spans="5:5" ht="15.6" customHeight="1" x14ac:dyDescent="0.3">
      <c r="E118"/>
    </row>
    <row r="119" spans="5:5" ht="15.6" customHeight="1" x14ac:dyDescent="0.3">
      <c r="E119"/>
    </row>
    <row r="120" spans="5:5" ht="15.6" customHeight="1" x14ac:dyDescent="0.3">
      <c r="E120"/>
    </row>
    <row r="121" spans="5:5" ht="15.6" customHeight="1" x14ac:dyDescent="0.3">
      <c r="E121"/>
    </row>
    <row r="122" spans="5:5" ht="15.6" customHeight="1" x14ac:dyDescent="0.3">
      <c r="E122"/>
    </row>
    <row r="123" spans="5:5" ht="15.6" customHeight="1" x14ac:dyDescent="0.3">
      <c r="E123"/>
    </row>
    <row r="124" spans="5:5" ht="15.6" customHeight="1" x14ac:dyDescent="0.3">
      <c r="E124"/>
    </row>
    <row r="125" spans="5:5" ht="15.6" customHeight="1" x14ac:dyDescent="0.3">
      <c r="E125"/>
    </row>
    <row r="126" spans="5:5" ht="15.6" customHeight="1" x14ac:dyDescent="0.3">
      <c r="E126"/>
    </row>
    <row r="127" spans="5:5" ht="15.6" customHeight="1" x14ac:dyDescent="0.3">
      <c r="E127"/>
    </row>
    <row r="128" spans="5:5" ht="15.6" customHeight="1" x14ac:dyDescent="0.3">
      <c r="E128"/>
    </row>
    <row r="129" spans="5:5" ht="15.6" customHeight="1" x14ac:dyDescent="0.3">
      <c r="E129"/>
    </row>
    <row r="130" spans="5:5" ht="15.6" customHeight="1" x14ac:dyDescent="0.3">
      <c r="E130"/>
    </row>
    <row r="131" spans="5:5" ht="15.6" customHeight="1" x14ac:dyDescent="0.3">
      <c r="E131"/>
    </row>
    <row r="132" spans="5:5" ht="15.6" customHeight="1" x14ac:dyDescent="0.3">
      <c r="E132"/>
    </row>
    <row r="133" spans="5:5" ht="15.6" customHeight="1" x14ac:dyDescent="0.3">
      <c r="E133"/>
    </row>
    <row r="134" spans="5:5" ht="15.6" customHeight="1" x14ac:dyDescent="0.3">
      <c r="E134"/>
    </row>
    <row r="135" spans="5:5" ht="15.6" customHeight="1" x14ac:dyDescent="0.3">
      <c r="E135"/>
    </row>
    <row r="136" spans="5:5" ht="15.6" customHeight="1" x14ac:dyDescent="0.3">
      <c r="E136"/>
    </row>
    <row r="137" spans="5:5" ht="15.6" customHeight="1" x14ac:dyDescent="0.3">
      <c r="E137"/>
    </row>
    <row r="138" spans="5:5" ht="15.6" customHeight="1" x14ac:dyDescent="0.3">
      <c r="E138"/>
    </row>
    <row r="139" spans="5:5" ht="15.6" customHeight="1" x14ac:dyDescent="0.3">
      <c r="E139"/>
    </row>
    <row r="140" spans="5:5" ht="15.6" customHeight="1" x14ac:dyDescent="0.3">
      <c r="E140"/>
    </row>
    <row r="141" spans="5:5" ht="15.6" customHeight="1" x14ac:dyDescent="0.3">
      <c r="E141"/>
    </row>
    <row r="142" spans="5:5" ht="15.6" customHeight="1" x14ac:dyDescent="0.3">
      <c r="E142"/>
    </row>
    <row r="143" spans="5:5" ht="15.6" customHeight="1" x14ac:dyDescent="0.3">
      <c r="E143"/>
    </row>
    <row r="144" spans="5:5" ht="15.6" customHeight="1" x14ac:dyDescent="0.3">
      <c r="E144"/>
    </row>
    <row r="145" spans="5:5" ht="15.6" customHeight="1" x14ac:dyDescent="0.3">
      <c r="E145"/>
    </row>
    <row r="146" spans="5:5" ht="15.6" customHeight="1" x14ac:dyDescent="0.3">
      <c r="E146"/>
    </row>
    <row r="147" spans="5:5" ht="15.6" customHeight="1" x14ac:dyDescent="0.3">
      <c r="E147"/>
    </row>
    <row r="148" spans="5:5" ht="15.6" customHeight="1" x14ac:dyDescent="0.3">
      <c r="E148"/>
    </row>
    <row r="149" spans="5:5" ht="15.6" customHeight="1" x14ac:dyDescent="0.3">
      <c r="E149"/>
    </row>
    <row r="150" spans="5:5" ht="15.6" customHeight="1" x14ac:dyDescent="0.3">
      <c r="E150"/>
    </row>
    <row r="151" spans="5:5" ht="15.6" customHeight="1" x14ac:dyDescent="0.3">
      <c r="E151"/>
    </row>
  </sheetData>
  <pageMargins left="0.7" right="0.7" top="0.75" bottom="0.75" header="0.3" footer="0.3"/>
  <pageSetup paperSize="9" scale="85" orientation="portrait" r:id="rId1"/>
  <ignoredErrors>
    <ignoredError sqref="G19 G36:G3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45D46-FC45-4591-A60F-0B4EA0645C45}">
  <dimension ref="A1:J61"/>
  <sheetViews>
    <sheetView showGridLines="0" topLeftCell="A7" workbookViewId="0">
      <selection activeCell="L13" sqref="L13"/>
    </sheetView>
  </sheetViews>
  <sheetFormatPr defaultRowHeight="14.4" x14ac:dyDescent="0.3"/>
  <cols>
    <col min="1" max="1" width="16" style="5" customWidth="1"/>
    <col min="2" max="2" width="12.109375" style="5" customWidth="1"/>
    <col min="3" max="3" width="9.6640625" style="5" customWidth="1"/>
    <col min="4" max="4" width="7.77734375" style="5" bestFit="1" customWidth="1"/>
    <col min="5" max="5" width="14.33203125" style="5" customWidth="1"/>
    <col min="6" max="6" width="13.109375" style="5" customWidth="1"/>
    <col min="7" max="7" width="13" style="5" customWidth="1"/>
    <col min="8" max="8" width="15" style="5" customWidth="1"/>
    <col min="9" max="9" width="13" style="5" customWidth="1"/>
    <col min="10" max="10" width="8.88671875" style="16"/>
    <col min="11" max="16384" width="8.88671875" style="5"/>
  </cols>
  <sheetData>
    <row r="1" spans="1:10" x14ac:dyDescent="0.3">
      <c r="A1" s="5" t="s">
        <v>81</v>
      </c>
      <c r="D1" s="5" t="s">
        <v>82</v>
      </c>
      <c r="E1" s="5" t="s">
        <v>83</v>
      </c>
      <c r="G1" s="5" t="s">
        <v>84</v>
      </c>
      <c r="H1" s="5" t="s">
        <v>85</v>
      </c>
    </row>
    <row r="3" spans="1:10" x14ac:dyDescent="0.3">
      <c r="C3" s="5" t="s">
        <v>86</v>
      </c>
      <c r="D3" s="5" t="s">
        <v>87</v>
      </c>
      <c r="E3" s="5" t="s">
        <v>88</v>
      </c>
      <c r="F3" s="5" t="s">
        <v>89</v>
      </c>
    </row>
    <row r="4" spans="1:10" x14ac:dyDescent="0.3">
      <c r="C4" s="5" t="s">
        <v>90</v>
      </c>
      <c r="D4" s="5" t="s">
        <v>91</v>
      </c>
      <c r="E4" s="5" t="s">
        <v>68</v>
      </c>
      <c r="F4" s="5" t="s">
        <v>92</v>
      </c>
    </row>
    <row r="5" spans="1:10" x14ac:dyDescent="0.3">
      <c r="B5" s="5" t="s">
        <v>93</v>
      </c>
      <c r="C5" s="5" t="s">
        <v>94</v>
      </c>
      <c r="D5" s="5" t="s">
        <v>95</v>
      </c>
      <c r="E5" s="5" t="s">
        <v>96</v>
      </c>
      <c r="F5" s="5" t="s">
        <v>97</v>
      </c>
    </row>
    <row r="6" spans="1:10" x14ac:dyDescent="0.3">
      <c r="B6" s="5" t="s">
        <v>98</v>
      </c>
      <c r="C6" s="5" t="s">
        <v>94</v>
      </c>
      <c r="D6" s="5" t="s">
        <v>99</v>
      </c>
      <c r="E6" s="5" t="s">
        <v>100</v>
      </c>
      <c r="F6" s="5" t="s">
        <v>101</v>
      </c>
    </row>
    <row r="8" spans="1:10" x14ac:dyDescent="0.3">
      <c r="C8" s="5" t="s">
        <v>20</v>
      </c>
      <c r="D8" s="5" t="s">
        <v>102</v>
      </c>
      <c r="E8" s="5" t="s">
        <v>103</v>
      </c>
    </row>
    <row r="9" spans="1:10" x14ac:dyDescent="0.3">
      <c r="E9" s="5" t="s">
        <v>104</v>
      </c>
      <c r="F9" s="5" t="s">
        <v>105</v>
      </c>
      <c r="G9" s="5" t="s">
        <v>106</v>
      </c>
      <c r="H9" s="5" t="s">
        <v>107</v>
      </c>
    </row>
    <row r="11" spans="1:10" x14ac:dyDescent="0.3">
      <c r="B11" s="5" t="s">
        <v>93</v>
      </c>
      <c r="D11" s="5" t="s">
        <v>108</v>
      </c>
      <c r="E11" s="5">
        <v>202108</v>
      </c>
    </row>
    <row r="12" spans="1:10" x14ac:dyDescent="0.3">
      <c r="B12" s="5" t="s">
        <v>109</v>
      </c>
      <c r="C12" s="5" t="s">
        <v>110</v>
      </c>
      <c r="D12" s="5" t="s">
        <v>108</v>
      </c>
      <c r="E12" s="5" t="s">
        <v>111</v>
      </c>
      <c r="F12" s="5" t="s">
        <v>112</v>
      </c>
      <c r="G12" s="5" t="s">
        <v>113</v>
      </c>
      <c r="H12" s="5">
        <v>21</v>
      </c>
    </row>
    <row r="14" spans="1:10" ht="13.8" x14ac:dyDescent="0.3">
      <c r="C14" s="5" t="s">
        <v>31</v>
      </c>
      <c r="D14" s="5" t="s">
        <v>114</v>
      </c>
      <c r="E14" s="6">
        <v>-9661.94</v>
      </c>
      <c r="F14" s="6">
        <v>-1449.14</v>
      </c>
      <c r="G14" s="6">
        <v>-756.92</v>
      </c>
      <c r="H14" s="6">
        <v>-11868</v>
      </c>
      <c r="I14" s="18">
        <f>H14</f>
        <v>-11868</v>
      </c>
      <c r="J14" s="14" t="str">
        <f>IFERROR(VLOOKUP(C14,'Collection Rate'!B:C,2,0),"")</f>
        <v>Electricity</v>
      </c>
    </row>
    <row r="15" spans="1:10" ht="13.8" x14ac:dyDescent="0.3">
      <c r="C15" s="5" t="s">
        <v>31</v>
      </c>
      <c r="D15" s="5" t="s">
        <v>115</v>
      </c>
      <c r="E15" s="6">
        <v>-25900.79</v>
      </c>
      <c r="F15" s="6">
        <v>-3885.21</v>
      </c>
      <c r="G15" s="6">
        <v>-988.58</v>
      </c>
      <c r="H15" s="6">
        <v>-30774.58</v>
      </c>
      <c r="I15" s="18">
        <f t="shared" ref="I15:I50" si="0">H15</f>
        <v>-30774.58</v>
      </c>
      <c r="J15" s="14" t="str">
        <f>IFERROR(VLOOKUP(C15,'Collection Rate'!B:C,2,0),"")</f>
        <v>Electricity</v>
      </c>
    </row>
    <row r="16" spans="1:10" thickBot="1" x14ac:dyDescent="0.35">
      <c r="E16" s="7">
        <f>SUM(E14:E15)</f>
        <v>-35562.730000000003</v>
      </c>
      <c r="F16" s="7">
        <f t="shared" ref="F16:H16" si="1">SUM(F14:F15)</f>
        <v>-5334.35</v>
      </c>
      <c r="G16" s="7">
        <f t="shared" si="1"/>
        <v>-1745.5</v>
      </c>
      <c r="H16" s="7">
        <f t="shared" si="1"/>
        <v>-42642.58</v>
      </c>
      <c r="I16" s="18">
        <f t="shared" si="0"/>
        <v>-42642.58</v>
      </c>
      <c r="J16" s="14" t="str">
        <f>IFERROR(VLOOKUP(C16,'Collection Rate'!B:C,2,0),"")</f>
        <v/>
      </c>
    </row>
    <row r="17" spans="3:10" thickTop="1" x14ac:dyDescent="0.3">
      <c r="E17" s="6"/>
      <c r="F17" s="6"/>
      <c r="G17" s="6"/>
      <c r="H17" s="6"/>
      <c r="I17" s="18">
        <f t="shared" si="0"/>
        <v>0</v>
      </c>
      <c r="J17" s="14" t="str">
        <f>IFERROR(VLOOKUP(C17,'Collection Rate'!B:C,2,0),"")</f>
        <v/>
      </c>
    </row>
    <row r="18" spans="3:10" thickBot="1" x14ac:dyDescent="0.35">
      <c r="C18" s="5" t="s">
        <v>32</v>
      </c>
      <c r="D18" s="5" t="s">
        <v>32</v>
      </c>
      <c r="E18" s="7">
        <v>-25610.01</v>
      </c>
      <c r="F18" s="7">
        <v>-3841.64</v>
      </c>
      <c r="G18" s="7">
        <v>-1825.61</v>
      </c>
      <c r="H18" s="7">
        <v>-31277.26</v>
      </c>
      <c r="I18" s="18">
        <f t="shared" si="0"/>
        <v>-31277.26</v>
      </c>
      <c r="J18" s="14" t="str">
        <f>IFERROR(VLOOKUP(C18,'Collection Rate'!B:C,2,0),"")</f>
        <v>Sundries</v>
      </c>
    </row>
    <row r="19" spans="3:10" thickTop="1" x14ac:dyDescent="0.3">
      <c r="E19" s="6"/>
      <c r="F19" s="6"/>
      <c r="G19" s="6"/>
      <c r="H19" s="6"/>
      <c r="I19" s="18">
        <f t="shared" si="0"/>
        <v>0</v>
      </c>
      <c r="J19" s="14" t="str">
        <f>IFERROR(VLOOKUP(C19,'Collection Rate'!B:C,2,0),"")</f>
        <v/>
      </c>
    </row>
    <row r="20" spans="3:10" ht="13.8" x14ac:dyDescent="0.3">
      <c r="C20" s="5" t="s">
        <v>36</v>
      </c>
      <c r="D20" s="5" t="s">
        <v>116</v>
      </c>
      <c r="E20" s="6">
        <v>-10504.08</v>
      </c>
      <c r="F20" s="6">
        <v>0</v>
      </c>
      <c r="G20" s="6">
        <v>-944.91</v>
      </c>
      <c r="H20" s="6">
        <v>-11448.99</v>
      </c>
      <c r="I20" s="18">
        <f t="shared" si="0"/>
        <v>-11448.99</v>
      </c>
      <c r="J20" s="14" t="str">
        <f>IFERROR(VLOOKUP(C20,'Collection Rate'!B:C,2,0),"")</f>
        <v xml:space="preserve">Rates  </v>
      </c>
    </row>
    <row r="21" spans="3:10" ht="13.8" x14ac:dyDescent="0.3">
      <c r="C21" s="5" t="s">
        <v>38</v>
      </c>
      <c r="D21" s="5" t="s">
        <v>116</v>
      </c>
      <c r="E21" s="6">
        <v>-12951.64</v>
      </c>
      <c r="F21" s="6">
        <v>0</v>
      </c>
      <c r="G21" s="6">
        <v>-2327.2800000000002</v>
      </c>
      <c r="H21" s="6">
        <v>-15278.92</v>
      </c>
      <c r="I21" s="18">
        <f t="shared" si="0"/>
        <v>-15278.92</v>
      </c>
      <c r="J21" s="14" t="str">
        <f>IFERROR(VLOOKUP(C21,'Collection Rate'!B:C,2,0),"")</f>
        <v xml:space="preserve">Rates  </v>
      </c>
    </row>
    <row r="22" spans="3:10" ht="13.8" x14ac:dyDescent="0.3">
      <c r="C22" s="5" t="s">
        <v>40</v>
      </c>
      <c r="D22" s="5" t="s">
        <v>116</v>
      </c>
      <c r="E22" s="6">
        <v>-5769.73</v>
      </c>
      <c r="F22" s="6">
        <v>0</v>
      </c>
      <c r="G22" s="6">
        <v>-203.65</v>
      </c>
      <c r="H22" s="6">
        <v>-5973.38</v>
      </c>
      <c r="I22" s="18">
        <f t="shared" si="0"/>
        <v>-5973.38</v>
      </c>
      <c r="J22" s="14" t="str">
        <f>IFERROR(VLOOKUP(C22,'Collection Rate'!B:C,2,0),"")</f>
        <v xml:space="preserve">Rates  </v>
      </c>
    </row>
    <row r="23" spans="3:10" ht="13.8" x14ac:dyDescent="0.3">
      <c r="C23" s="5" t="s">
        <v>43</v>
      </c>
      <c r="D23" s="5" t="s">
        <v>116</v>
      </c>
      <c r="E23" s="6">
        <v>-4151.9799999999996</v>
      </c>
      <c r="F23" s="6">
        <v>0</v>
      </c>
      <c r="G23" s="6">
        <v>-350.9</v>
      </c>
      <c r="H23" s="6">
        <v>-4502.88</v>
      </c>
      <c r="I23" s="18">
        <f t="shared" si="0"/>
        <v>-4502.88</v>
      </c>
      <c r="J23" s="14" t="str">
        <f>IFERROR(VLOOKUP(C23,'Collection Rate'!B:C,2,0),"")</f>
        <v xml:space="preserve">Rates  </v>
      </c>
    </row>
    <row r="24" spans="3:10" ht="13.8" x14ac:dyDescent="0.3">
      <c r="C24" s="5" t="s">
        <v>48</v>
      </c>
      <c r="D24" s="5" t="s">
        <v>116</v>
      </c>
      <c r="E24" s="6">
        <v>-62088.67</v>
      </c>
      <c r="F24" s="6">
        <v>0</v>
      </c>
      <c r="G24" s="6">
        <v>-3670.97</v>
      </c>
      <c r="H24" s="6">
        <v>-65759.64</v>
      </c>
      <c r="I24" s="18">
        <f t="shared" si="0"/>
        <v>-65759.64</v>
      </c>
      <c r="J24" s="14" t="str">
        <f>IFERROR(VLOOKUP(C24,'Collection Rate'!B:C,2,0),"")</f>
        <v xml:space="preserve">Rates  </v>
      </c>
    </row>
    <row r="25" spans="3:10" ht="13.8" x14ac:dyDescent="0.3">
      <c r="C25" s="5" t="s">
        <v>50</v>
      </c>
      <c r="D25" s="5" t="s">
        <v>116</v>
      </c>
      <c r="E25" s="6">
        <v>-605597.68999999994</v>
      </c>
      <c r="F25" s="6">
        <v>0</v>
      </c>
      <c r="G25" s="6">
        <v>-39718.21</v>
      </c>
      <c r="H25" s="6">
        <v>-645315.9</v>
      </c>
      <c r="I25" s="18">
        <f t="shared" si="0"/>
        <v>-645315.9</v>
      </c>
      <c r="J25" s="14" t="str">
        <f>IFERROR(VLOOKUP(C25,'Collection Rate'!B:C,2,0),"")</f>
        <v xml:space="preserve">Rates  </v>
      </c>
    </row>
    <row r="26" spans="3:10" ht="13.8" x14ac:dyDescent="0.3">
      <c r="C26" s="5" t="s">
        <v>51</v>
      </c>
      <c r="D26" s="5" t="s">
        <v>116</v>
      </c>
      <c r="E26" s="6">
        <v>-614.54999999999995</v>
      </c>
      <c r="F26" s="6">
        <v>0</v>
      </c>
      <c r="G26" s="6">
        <v>0</v>
      </c>
      <c r="H26" s="6">
        <v>-614.54999999999995</v>
      </c>
      <c r="I26" s="18">
        <f t="shared" si="0"/>
        <v>-614.54999999999995</v>
      </c>
      <c r="J26" s="14" t="str">
        <f>IFERROR(VLOOKUP(C26,'Collection Rate'!B:C,2,0),"")</f>
        <v xml:space="preserve">Rates  </v>
      </c>
    </row>
    <row r="27" spans="3:10" ht="13.8" x14ac:dyDescent="0.3">
      <c r="C27" s="5" t="s">
        <v>57</v>
      </c>
      <c r="D27" s="5" t="s">
        <v>117</v>
      </c>
      <c r="E27" s="6">
        <v>-18542.5</v>
      </c>
      <c r="F27" s="6">
        <v>0</v>
      </c>
      <c r="G27" s="6">
        <v>-15277.46</v>
      </c>
      <c r="H27" s="6">
        <v>-33819.96</v>
      </c>
      <c r="I27" s="18">
        <f t="shared" si="0"/>
        <v>-33819.96</v>
      </c>
      <c r="J27" s="14" t="str">
        <f>IFERROR(VLOOKUP(C27,'Collection Rate'!B:C,2,0),"")</f>
        <v xml:space="preserve">Rates  </v>
      </c>
    </row>
    <row r="28" spans="3:10" ht="13.8" x14ac:dyDescent="0.3">
      <c r="C28" s="5" t="s">
        <v>57</v>
      </c>
      <c r="D28" s="5" t="s">
        <v>116</v>
      </c>
      <c r="E28" s="6">
        <v>-177802.46</v>
      </c>
      <c r="F28" s="6">
        <v>0</v>
      </c>
      <c r="G28" s="6">
        <v>-138517.51</v>
      </c>
      <c r="H28" s="6">
        <v>-316319.96999999997</v>
      </c>
      <c r="I28" s="18">
        <f t="shared" si="0"/>
        <v>-316319.96999999997</v>
      </c>
      <c r="J28" s="14" t="str">
        <f>IFERROR(VLOOKUP(C28,'Collection Rate'!B:C,2,0),"")</f>
        <v xml:space="preserve">Rates  </v>
      </c>
    </row>
    <row r="29" spans="3:10" thickBot="1" x14ac:dyDescent="0.35">
      <c r="E29" s="7">
        <f>SUM(E20:E28)</f>
        <v>-898023.29999999993</v>
      </c>
      <c r="F29" s="7">
        <f t="shared" ref="F29:H29" si="2">SUM(F20:F28)</f>
        <v>0</v>
      </c>
      <c r="G29" s="7">
        <f t="shared" si="2"/>
        <v>-201010.89</v>
      </c>
      <c r="H29" s="7">
        <f t="shared" si="2"/>
        <v>-1099034.19</v>
      </c>
      <c r="I29" s="18">
        <f t="shared" si="0"/>
        <v>-1099034.19</v>
      </c>
      <c r="J29" s="14" t="str">
        <f>IFERROR(VLOOKUP(C29,'Collection Rate'!B:C,2,0),"")</f>
        <v/>
      </c>
    </row>
    <row r="30" spans="3:10" thickTop="1" x14ac:dyDescent="0.3">
      <c r="E30" s="6"/>
      <c r="F30" s="6"/>
      <c r="G30" s="6"/>
      <c r="H30" s="6"/>
      <c r="I30" s="18">
        <f t="shared" si="0"/>
        <v>0</v>
      </c>
      <c r="J30" s="14" t="str">
        <f>IFERROR(VLOOKUP(C30,'Collection Rate'!B:C,2,0),"")</f>
        <v/>
      </c>
    </row>
    <row r="31" spans="3:10" thickBot="1" x14ac:dyDescent="0.35">
      <c r="C31" s="5" t="s">
        <v>58</v>
      </c>
      <c r="D31" s="5" t="s">
        <v>118</v>
      </c>
      <c r="E31" s="7">
        <v>-746823.81</v>
      </c>
      <c r="F31" s="7">
        <v>-112061.54</v>
      </c>
      <c r="G31" s="7">
        <v>-86581.49</v>
      </c>
      <c r="H31" s="7">
        <v>-945466.84</v>
      </c>
      <c r="I31" s="18">
        <f t="shared" si="0"/>
        <v>-945466.84</v>
      </c>
      <c r="J31" s="14" t="str">
        <f>IFERROR(VLOOKUP(C31,'Collection Rate'!B:C,2,0),"")</f>
        <v>Refuse</v>
      </c>
    </row>
    <row r="32" spans="3:10" thickTop="1" x14ac:dyDescent="0.3">
      <c r="E32" s="6"/>
      <c r="F32" s="6"/>
      <c r="G32" s="6"/>
      <c r="H32" s="6"/>
      <c r="I32" s="18">
        <f t="shared" si="0"/>
        <v>0</v>
      </c>
      <c r="J32" s="14" t="str">
        <f>IFERROR(VLOOKUP(C32,'Collection Rate'!B:C,2,0),"")</f>
        <v/>
      </c>
    </row>
    <row r="33" spans="3:10" thickBot="1" x14ac:dyDescent="0.35">
      <c r="C33" s="5" t="s">
        <v>59</v>
      </c>
      <c r="D33" s="5" t="s">
        <v>119</v>
      </c>
      <c r="E33" s="7">
        <v>-23.96</v>
      </c>
      <c r="F33" s="7">
        <v>-3.59</v>
      </c>
      <c r="G33" s="7">
        <v>-5.3</v>
      </c>
      <c r="H33" s="7">
        <v>-32.85</v>
      </c>
      <c r="I33" s="18">
        <f t="shared" si="0"/>
        <v>-32.85</v>
      </c>
      <c r="J33" s="14" t="str">
        <f>IFERROR(VLOOKUP(C33,'Collection Rate'!B:C,2,0),"")</f>
        <v>Sundries</v>
      </c>
    </row>
    <row r="34" spans="3:10" thickTop="1" x14ac:dyDescent="0.3">
      <c r="E34" s="6"/>
      <c r="F34" s="6"/>
      <c r="G34" s="6"/>
      <c r="H34" s="6"/>
      <c r="I34" s="18">
        <f t="shared" si="0"/>
        <v>0</v>
      </c>
      <c r="J34" s="14" t="str">
        <f>IFERROR(VLOOKUP(C34,'Collection Rate'!B:C,2,0),"")</f>
        <v/>
      </c>
    </row>
    <row r="35" spans="3:10" ht="13.8" x14ac:dyDescent="0.3">
      <c r="C35" s="5" t="s">
        <v>61</v>
      </c>
      <c r="D35" s="5" t="s">
        <v>120</v>
      </c>
      <c r="E35" s="6">
        <v>-413902.46</v>
      </c>
      <c r="F35" s="6">
        <v>-62082.17</v>
      </c>
      <c r="G35" s="6">
        <v>-53215.4</v>
      </c>
      <c r="H35" s="6">
        <v>-529200.03</v>
      </c>
      <c r="I35" s="18">
        <f t="shared" si="0"/>
        <v>-529200.03</v>
      </c>
      <c r="J35" s="14" t="str">
        <f>IFERROR(VLOOKUP(C35,'Collection Rate'!B:C,2,0),"")</f>
        <v>Sewerage</v>
      </c>
    </row>
    <row r="36" spans="3:10" ht="13.8" x14ac:dyDescent="0.3">
      <c r="C36" s="5" t="s">
        <v>61</v>
      </c>
      <c r="D36" s="5" t="s">
        <v>121</v>
      </c>
      <c r="E36" s="6">
        <v>-105232.11</v>
      </c>
      <c r="F36" s="6">
        <v>-15784.46</v>
      </c>
      <c r="G36" s="6">
        <v>-9583.76</v>
      </c>
      <c r="H36" s="6">
        <v>-130600.33</v>
      </c>
      <c r="I36" s="18">
        <f t="shared" si="0"/>
        <v>-130600.33</v>
      </c>
      <c r="J36" s="14" t="str">
        <f>IFERROR(VLOOKUP(C36,'Collection Rate'!B:C,2,0),"")</f>
        <v>Sewerage</v>
      </c>
    </row>
    <row r="37" spans="3:10" ht="13.8" x14ac:dyDescent="0.3">
      <c r="C37" s="5" t="s">
        <v>61</v>
      </c>
      <c r="D37" s="5" t="s">
        <v>116</v>
      </c>
      <c r="E37" s="6">
        <v>-197330.07</v>
      </c>
      <c r="F37" s="6">
        <v>-29570.880000000001</v>
      </c>
      <c r="G37" s="6">
        <v>-18992.03</v>
      </c>
      <c r="H37" s="6">
        <v>-245892.98</v>
      </c>
      <c r="I37" s="18">
        <f t="shared" si="0"/>
        <v>-245892.98</v>
      </c>
      <c r="J37" s="14" t="str">
        <f>IFERROR(VLOOKUP(C37,'Collection Rate'!B:C,2,0),"")</f>
        <v>Sewerage</v>
      </c>
    </row>
    <row r="38" spans="3:10" ht="13.8" x14ac:dyDescent="0.3">
      <c r="C38" s="5" t="s">
        <v>61</v>
      </c>
      <c r="D38" s="5" t="s">
        <v>122</v>
      </c>
      <c r="E38" s="6">
        <v>-6964.5</v>
      </c>
      <c r="F38" s="6">
        <v>-1044.47</v>
      </c>
      <c r="G38" s="6">
        <v>-473.05</v>
      </c>
      <c r="H38" s="6">
        <v>-8482.02</v>
      </c>
      <c r="I38" s="18">
        <f t="shared" si="0"/>
        <v>-8482.02</v>
      </c>
      <c r="J38" s="14" t="str">
        <f>IFERROR(VLOOKUP(C38,'Collection Rate'!B:C,2,0),"")</f>
        <v>Sewerage</v>
      </c>
    </row>
    <row r="39" spans="3:10" thickBot="1" x14ac:dyDescent="0.35">
      <c r="E39" s="7">
        <f>SUM(E35:E38)</f>
        <v>-723429.14</v>
      </c>
      <c r="F39" s="7">
        <f t="shared" ref="F39:H39" si="3">SUM(F35:F38)</f>
        <v>-108481.98000000001</v>
      </c>
      <c r="G39" s="7">
        <f t="shared" si="3"/>
        <v>-82264.240000000005</v>
      </c>
      <c r="H39" s="7">
        <f t="shared" si="3"/>
        <v>-914175.36</v>
      </c>
      <c r="I39" s="18">
        <f t="shared" si="0"/>
        <v>-914175.36</v>
      </c>
      <c r="J39" s="14" t="str">
        <f>IFERROR(VLOOKUP(C39,'Collection Rate'!B:C,2,0),"")</f>
        <v/>
      </c>
    </row>
    <row r="40" spans="3:10" thickTop="1" x14ac:dyDescent="0.3">
      <c r="E40" s="6"/>
      <c r="F40" s="6"/>
      <c r="G40" s="6"/>
      <c r="H40" s="6"/>
      <c r="I40" s="18">
        <f t="shared" si="0"/>
        <v>0</v>
      </c>
      <c r="J40" s="14" t="str">
        <f>IFERROR(VLOOKUP(C40,'Collection Rate'!B:C,2,0),"")</f>
        <v/>
      </c>
    </row>
    <row r="41" spans="3:10" ht="13.8" x14ac:dyDescent="0.3">
      <c r="C41" s="5" t="s">
        <v>62</v>
      </c>
      <c r="D41" s="5" t="s">
        <v>123</v>
      </c>
      <c r="E41" s="6">
        <v>-9.1199999999999992</v>
      </c>
      <c r="F41" s="6">
        <v>0</v>
      </c>
      <c r="G41" s="6">
        <v>-2.34</v>
      </c>
      <c r="H41" s="6">
        <v>-11.46</v>
      </c>
      <c r="I41" s="18">
        <f t="shared" si="0"/>
        <v>-11.46</v>
      </c>
      <c r="J41" s="14" t="str">
        <f>IFERROR(VLOOKUP(C41,'Collection Rate'!B:C,2,0),"")</f>
        <v>Sundries</v>
      </c>
    </row>
    <row r="42" spans="3:10" ht="13.8" x14ac:dyDescent="0.3">
      <c r="C42" s="5" t="s">
        <v>62</v>
      </c>
      <c r="D42" s="5" t="s">
        <v>124</v>
      </c>
      <c r="E42" s="6">
        <v>-1895.29</v>
      </c>
      <c r="F42" s="6">
        <v>-95.75</v>
      </c>
      <c r="G42" s="6">
        <v>-322.51</v>
      </c>
      <c r="H42" s="6">
        <v>-2313.5500000000002</v>
      </c>
      <c r="I42" s="18">
        <f t="shared" si="0"/>
        <v>-2313.5500000000002</v>
      </c>
      <c r="J42" s="14" t="str">
        <f>IFERROR(VLOOKUP(C42,'Collection Rate'!B:C,2,0),"")</f>
        <v>Sundries</v>
      </c>
    </row>
    <row r="43" spans="3:10" ht="13.8" x14ac:dyDescent="0.3">
      <c r="C43" s="5" t="s">
        <v>62</v>
      </c>
      <c r="D43" s="5" t="s">
        <v>125</v>
      </c>
      <c r="E43" s="6">
        <v>-20977.23</v>
      </c>
      <c r="F43" s="6">
        <v>0</v>
      </c>
      <c r="G43" s="6">
        <v>-1275.5899999999999</v>
      </c>
      <c r="H43" s="6">
        <v>-22252.82</v>
      </c>
      <c r="I43" s="18">
        <f t="shared" si="0"/>
        <v>-22252.82</v>
      </c>
      <c r="J43" s="14" t="str">
        <f>IFERROR(VLOOKUP(C43,'Collection Rate'!B:C,2,0),"")</f>
        <v>Sundries</v>
      </c>
    </row>
    <row r="44" spans="3:10" ht="13.8" x14ac:dyDescent="0.3">
      <c r="C44" s="5" t="s">
        <v>62</v>
      </c>
      <c r="D44" s="5" t="s">
        <v>126</v>
      </c>
      <c r="E44" s="6">
        <v>-36305.86</v>
      </c>
      <c r="F44" s="6">
        <v>-5445.93</v>
      </c>
      <c r="G44" s="6">
        <v>-1514.38</v>
      </c>
      <c r="H44" s="6">
        <v>-43266.17</v>
      </c>
      <c r="I44" s="18">
        <f t="shared" si="0"/>
        <v>-43266.17</v>
      </c>
      <c r="J44" s="14" t="str">
        <f>IFERROR(VLOOKUP(C44,'Collection Rate'!B:C,2,0),"")</f>
        <v>Sundries</v>
      </c>
    </row>
    <row r="45" spans="3:10" ht="13.8" x14ac:dyDescent="0.3">
      <c r="C45" s="5" t="s">
        <v>62</v>
      </c>
      <c r="D45" s="5" t="s">
        <v>122</v>
      </c>
      <c r="E45" s="6">
        <v>-412.42</v>
      </c>
      <c r="F45" s="6">
        <v>-72.78</v>
      </c>
      <c r="G45" s="6">
        <v>0</v>
      </c>
      <c r="H45" s="6">
        <v>-485.2</v>
      </c>
      <c r="I45" s="18">
        <f t="shared" si="0"/>
        <v>-485.2</v>
      </c>
      <c r="J45" s="14" t="str">
        <f>IFERROR(VLOOKUP(C45,'Collection Rate'!B:C,2,0),"")</f>
        <v>Sundries</v>
      </c>
    </row>
    <row r="46" spans="3:10" thickBot="1" x14ac:dyDescent="0.35">
      <c r="E46" s="7">
        <f>SUM(E41:E45)</f>
        <v>-59599.92</v>
      </c>
      <c r="F46" s="7">
        <f t="shared" ref="F46:H46" si="4">SUM(F41:F45)</f>
        <v>-5614.46</v>
      </c>
      <c r="G46" s="7">
        <f t="shared" si="4"/>
        <v>-3114.8199999999997</v>
      </c>
      <c r="H46" s="7">
        <f t="shared" si="4"/>
        <v>-68329.2</v>
      </c>
      <c r="I46" s="18">
        <f t="shared" si="0"/>
        <v>-68329.2</v>
      </c>
      <c r="J46" s="14" t="str">
        <f>IFERROR(VLOOKUP(C46,'Collection Rate'!B:C,2,0),"")</f>
        <v/>
      </c>
    </row>
    <row r="47" spans="3:10" thickTop="1" x14ac:dyDescent="0.3">
      <c r="E47" s="6"/>
      <c r="F47" s="6"/>
      <c r="G47" s="6"/>
      <c r="H47" s="6"/>
      <c r="I47" s="18">
        <f t="shared" si="0"/>
        <v>0</v>
      </c>
      <c r="J47" s="14" t="str">
        <f>IFERROR(VLOOKUP(C47,'Collection Rate'!B:C,2,0),"")</f>
        <v/>
      </c>
    </row>
    <row r="48" spans="3:10" ht="13.8" x14ac:dyDescent="0.3">
      <c r="C48" s="5" t="s">
        <v>63</v>
      </c>
      <c r="D48" s="5" t="s">
        <v>114</v>
      </c>
      <c r="E48" s="6">
        <v>-8834.33</v>
      </c>
      <c r="F48" s="6">
        <v>-1325.22</v>
      </c>
      <c r="G48" s="6">
        <v>-858.33</v>
      </c>
      <c r="H48" s="6">
        <v>-11017.88</v>
      </c>
      <c r="I48" s="18">
        <f t="shared" si="0"/>
        <v>-11017.88</v>
      </c>
      <c r="J48" s="14" t="str">
        <f>IFERROR(VLOOKUP(C48,'Collection Rate'!B:C,2,0),"")</f>
        <v>Water</v>
      </c>
    </row>
    <row r="49" spans="1:10" ht="13.8" x14ac:dyDescent="0.3">
      <c r="C49" s="5" t="s">
        <v>63</v>
      </c>
      <c r="D49" s="5" t="s">
        <v>115</v>
      </c>
      <c r="E49" s="6">
        <v>-5809921.2599999998</v>
      </c>
      <c r="F49" s="6">
        <v>-871445.6</v>
      </c>
      <c r="G49" s="6">
        <v>-370808.38</v>
      </c>
      <c r="H49" s="6">
        <v>-7052175.2400000002</v>
      </c>
      <c r="I49" s="18">
        <f t="shared" si="0"/>
        <v>-7052175.2400000002</v>
      </c>
      <c r="J49" s="14" t="str">
        <f>IFERROR(VLOOKUP(C49,'Collection Rate'!B:C,2,0),"")</f>
        <v>Water</v>
      </c>
    </row>
    <row r="50" spans="1:10" thickBot="1" x14ac:dyDescent="0.35">
      <c r="E50" s="7">
        <f>SUM(E48:E49)</f>
        <v>-5818755.5899999999</v>
      </c>
      <c r="F50" s="7">
        <f t="shared" ref="F50:H50" si="5">SUM(F48:F49)</f>
        <v>-872770.82</v>
      </c>
      <c r="G50" s="7">
        <f t="shared" si="5"/>
        <v>-371666.71</v>
      </c>
      <c r="H50" s="7">
        <f t="shared" si="5"/>
        <v>-7063193.1200000001</v>
      </c>
      <c r="I50" s="18">
        <f t="shared" si="0"/>
        <v>-7063193.1200000001</v>
      </c>
      <c r="J50" s="14" t="str">
        <f>IFERROR(VLOOKUP(C50,'Collection Rate'!B:C,2,0),"")</f>
        <v/>
      </c>
    </row>
    <row r="51" spans="1:10" thickTop="1" x14ac:dyDescent="0.3">
      <c r="E51" s="6"/>
      <c r="F51" s="6"/>
      <c r="G51" s="6"/>
      <c r="H51" s="6"/>
      <c r="J51" s="14" t="str">
        <f>IFERROR(VLOOKUP(C51,'Collection Rate'!B:C,2,0),"")</f>
        <v/>
      </c>
    </row>
    <row r="52" spans="1:10" ht="13.8" x14ac:dyDescent="0.3">
      <c r="E52" s="6" t="s">
        <v>67</v>
      </c>
      <c r="F52" s="6" t="s">
        <v>67</v>
      </c>
      <c r="G52" s="6" t="s">
        <v>67</v>
      </c>
      <c r="H52" s="6" t="s">
        <v>67</v>
      </c>
      <c r="J52" s="14" t="str">
        <f>IFERROR(VLOOKUP(C52,'Collection Rate'!B:C,2,0),"")</f>
        <v/>
      </c>
    </row>
    <row r="53" spans="1:10" ht="13.8" x14ac:dyDescent="0.3">
      <c r="A53" s="8" t="s">
        <v>127</v>
      </c>
      <c r="B53" s="8" t="s">
        <v>128</v>
      </c>
      <c r="C53" s="5" t="s">
        <v>129</v>
      </c>
      <c r="D53" s="5">
        <v>2021</v>
      </c>
      <c r="E53" s="6">
        <v>-8307828.46</v>
      </c>
      <c r="F53" s="6">
        <v>-1108108.3799999999</v>
      </c>
      <c r="G53" s="6">
        <v>-748214.56</v>
      </c>
      <c r="H53" s="9">
        <v>-10164151.4</v>
      </c>
      <c r="J53" s="14" t="str">
        <f>IFERROR(VLOOKUP(C53,'Collection Rate'!B:C,2,0),"")</f>
        <v/>
      </c>
    </row>
    <row r="54" spans="1:10" x14ac:dyDescent="0.3">
      <c r="E54" s="6" t="s">
        <v>67</v>
      </c>
      <c r="F54" s="6" t="s">
        <v>67</v>
      </c>
      <c r="G54" s="6" t="s">
        <v>67</v>
      </c>
      <c r="H54" s="6" t="s">
        <v>67</v>
      </c>
    </row>
    <row r="55" spans="1:10" x14ac:dyDescent="0.3">
      <c r="B55" s="5" t="s">
        <v>130</v>
      </c>
      <c r="C55" s="5" t="s">
        <v>131</v>
      </c>
      <c r="D55" s="5">
        <v>202108</v>
      </c>
      <c r="E55" s="6">
        <v>-8307828.46</v>
      </c>
      <c r="F55" s="6">
        <v>-1108108.3799999999</v>
      </c>
      <c r="G55" s="6">
        <v>-748214.56</v>
      </c>
      <c r="H55" s="6">
        <v>-10164151.4</v>
      </c>
    </row>
    <row r="56" spans="1:10" x14ac:dyDescent="0.3">
      <c r="E56" s="6" t="s">
        <v>67</v>
      </c>
      <c r="F56" s="6" t="s">
        <v>67</v>
      </c>
      <c r="G56" s="6" t="s">
        <v>67</v>
      </c>
      <c r="H56" s="6" t="s">
        <v>67</v>
      </c>
    </row>
    <row r="57" spans="1:10" x14ac:dyDescent="0.3">
      <c r="B57" s="5" t="s">
        <v>132</v>
      </c>
      <c r="C57" s="5" t="s">
        <v>133</v>
      </c>
      <c r="D57" s="5" t="s">
        <v>134</v>
      </c>
      <c r="E57" s="6">
        <v>-8307828.46</v>
      </c>
      <c r="F57" s="6">
        <v>-1108108.3799999999</v>
      </c>
      <c r="G57" s="6">
        <v>-748214.56</v>
      </c>
      <c r="H57" s="6">
        <v>-10164151.4</v>
      </c>
    </row>
    <row r="58" spans="1:10" x14ac:dyDescent="0.3">
      <c r="E58" s="6" t="s">
        <v>14</v>
      </c>
      <c r="F58" s="6" t="s">
        <v>14</v>
      </c>
      <c r="G58" s="6" t="s">
        <v>14</v>
      </c>
      <c r="H58" s="6" t="s">
        <v>14</v>
      </c>
    </row>
    <row r="60" spans="1:10" x14ac:dyDescent="0.3">
      <c r="A60" s="5" t="s">
        <v>135</v>
      </c>
      <c r="B60" s="5" t="s">
        <v>136</v>
      </c>
    </row>
    <row r="61" spans="1:10" x14ac:dyDescent="0.3">
      <c r="H61" s="18">
        <f>H57-F57</f>
        <v>-9056043.0199999996</v>
      </c>
    </row>
  </sheetData>
  <autoFilter ref="C13:J60" xr:uid="{A3445D46-FC45-4591-A60F-0B4EA0645C4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ED3FD-DB05-4265-B1B0-B2E2C82F2094}">
  <dimension ref="A1:J65"/>
  <sheetViews>
    <sheetView showGridLines="0" topLeftCell="A13" workbookViewId="0">
      <selection activeCell="M18" sqref="M18"/>
    </sheetView>
  </sheetViews>
  <sheetFormatPr defaultRowHeight="14.4" x14ac:dyDescent="0.3"/>
  <cols>
    <col min="1" max="1" width="5.21875" customWidth="1"/>
    <col min="2" max="2" width="19.109375" customWidth="1"/>
    <col min="3" max="3" width="8.109375" bestFit="1" customWidth="1"/>
    <col min="4" max="4" width="15.88671875" bestFit="1" customWidth="1"/>
    <col min="5" max="6" width="15.109375" bestFit="1" customWidth="1"/>
    <col min="7" max="7" width="19.88671875" bestFit="1" customWidth="1"/>
    <col min="9" max="9" width="13.6640625" customWidth="1"/>
    <col min="10" max="10" width="8.88671875" style="16"/>
  </cols>
  <sheetData>
    <row r="1" spans="1:10" x14ac:dyDescent="0.3">
      <c r="A1" t="s">
        <v>137</v>
      </c>
      <c r="C1" t="s">
        <v>82</v>
      </c>
      <c r="D1" t="s">
        <v>83</v>
      </c>
      <c r="F1" t="s">
        <v>84</v>
      </c>
      <c r="G1" t="s">
        <v>85</v>
      </c>
    </row>
    <row r="3" spans="1:10" x14ac:dyDescent="0.3">
      <c r="B3" t="s">
        <v>86</v>
      </c>
      <c r="C3" t="s">
        <v>87</v>
      </c>
      <c r="D3" t="s">
        <v>88</v>
      </c>
      <c r="E3" t="s">
        <v>89</v>
      </c>
    </row>
    <row r="4" spans="1:10" x14ac:dyDescent="0.3">
      <c r="B4" t="s">
        <v>90</v>
      </c>
      <c r="C4" t="s">
        <v>91</v>
      </c>
      <c r="D4" t="s">
        <v>68</v>
      </c>
      <c r="E4" t="s">
        <v>92</v>
      </c>
    </row>
    <row r="5" spans="1:10" x14ac:dyDescent="0.3">
      <c r="B5" t="s">
        <v>138</v>
      </c>
      <c r="C5" t="s">
        <v>95</v>
      </c>
      <c r="D5" t="s">
        <v>96</v>
      </c>
      <c r="E5" t="s">
        <v>97</v>
      </c>
    </row>
    <row r="6" spans="1:10" x14ac:dyDescent="0.3">
      <c r="B6" t="s">
        <v>139</v>
      </c>
      <c r="C6" t="s">
        <v>140</v>
      </c>
      <c r="D6" t="s">
        <v>100</v>
      </c>
      <c r="E6" t="s">
        <v>141</v>
      </c>
    </row>
    <row r="8" spans="1:10" x14ac:dyDescent="0.3">
      <c r="B8" t="s">
        <v>20</v>
      </c>
      <c r="C8" t="s">
        <v>102</v>
      </c>
      <c r="D8" t="s">
        <v>103</v>
      </c>
    </row>
    <row r="9" spans="1:10" x14ac:dyDescent="0.3">
      <c r="D9" t="s">
        <v>104</v>
      </c>
      <c r="E9" t="s">
        <v>105</v>
      </c>
      <c r="F9" t="s">
        <v>106</v>
      </c>
      <c r="G9" t="s">
        <v>107</v>
      </c>
    </row>
    <row r="11" spans="1:10" x14ac:dyDescent="0.3">
      <c r="B11" t="s">
        <v>142</v>
      </c>
      <c r="C11" t="s">
        <v>143</v>
      </c>
      <c r="D11" t="s">
        <v>144</v>
      </c>
      <c r="E11" t="s">
        <v>145</v>
      </c>
    </row>
    <row r="12" spans="1:10" x14ac:dyDescent="0.3">
      <c r="B12" t="s">
        <v>93</v>
      </c>
      <c r="C12" t="s">
        <v>108</v>
      </c>
      <c r="D12">
        <v>202108</v>
      </c>
    </row>
    <row r="13" spans="1:10" x14ac:dyDescent="0.3">
      <c r="B13" t="s">
        <v>146</v>
      </c>
      <c r="C13" t="s">
        <v>108</v>
      </c>
      <c r="D13" t="s">
        <v>111</v>
      </c>
      <c r="E13" t="s">
        <v>147</v>
      </c>
      <c r="F13" t="s">
        <v>148</v>
      </c>
      <c r="G13">
        <v>18</v>
      </c>
    </row>
    <row r="15" spans="1:10" x14ac:dyDescent="0.3">
      <c r="B15" t="s">
        <v>31</v>
      </c>
      <c r="C15" t="s">
        <v>114</v>
      </c>
      <c r="D15" s="10">
        <v>-120357.78</v>
      </c>
      <c r="E15" s="10">
        <v>-16924.2</v>
      </c>
      <c r="F15" s="10">
        <v>-53850.6</v>
      </c>
      <c r="G15" s="10">
        <v>-191132.58</v>
      </c>
      <c r="I15" s="17">
        <f>G15</f>
        <v>-191132.58</v>
      </c>
      <c r="J15" s="14" t="str">
        <f>IFERROR(VLOOKUP(B15,'Collection Rate'!B:C,2,0),"")</f>
        <v>Electricity</v>
      </c>
    </row>
    <row r="16" spans="1:10" x14ac:dyDescent="0.3">
      <c r="B16" t="s">
        <v>31</v>
      </c>
      <c r="C16" t="s">
        <v>115</v>
      </c>
      <c r="D16" s="10">
        <v>-793522.52</v>
      </c>
      <c r="E16" s="10">
        <v>-111559.22</v>
      </c>
      <c r="F16" s="10">
        <v>-509014.39</v>
      </c>
      <c r="G16" s="10">
        <v>-1414096.13</v>
      </c>
      <c r="I16" s="17">
        <f t="shared" ref="I16:I53" si="0">G16</f>
        <v>-1414096.13</v>
      </c>
      <c r="J16" s="14" t="str">
        <f>IFERROR(VLOOKUP(B16,'Collection Rate'!B:C,2,0),"")</f>
        <v>Electricity</v>
      </c>
    </row>
    <row r="17" spans="2:10" x14ac:dyDescent="0.3">
      <c r="B17" t="s">
        <v>31</v>
      </c>
      <c r="C17" t="s">
        <v>149</v>
      </c>
      <c r="D17" s="10">
        <v>-0.01</v>
      </c>
      <c r="E17" s="10">
        <v>0</v>
      </c>
      <c r="F17" s="10">
        <v>0</v>
      </c>
      <c r="G17" s="10">
        <v>-0.01</v>
      </c>
      <c r="I17" s="17">
        <f t="shared" si="0"/>
        <v>-0.01</v>
      </c>
      <c r="J17" s="14" t="str">
        <f>IFERROR(VLOOKUP(B17,'Collection Rate'!B:C,2,0),"")</f>
        <v>Electricity</v>
      </c>
    </row>
    <row r="18" spans="2:10" x14ac:dyDescent="0.3">
      <c r="B18" t="s">
        <v>31</v>
      </c>
      <c r="C18" t="s">
        <v>150</v>
      </c>
      <c r="D18" s="10">
        <v>-1293.8800000000001</v>
      </c>
      <c r="E18" s="10">
        <v>-186.42</v>
      </c>
      <c r="F18" s="10">
        <v>-893.3</v>
      </c>
      <c r="G18" s="10">
        <v>-2373.6</v>
      </c>
      <c r="I18" s="17">
        <f t="shared" si="0"/>
        <v>-2373.6</v>
      </c>
      <c r="J18" s="14" t="str">
        <f>IFERROR(VLOOKUP(B18,'Collection Rate'!B:C,2,0),"")</f>
        <v>Electricity</v>
      </c>
    </row>
    <row r="19" spans="2:10" s="11" customFormat="1" x14ac:dyDescent="0.3">
      <c r="D19" s="12">
        <f>SUM(D15:D18)</f>
        <v>-915174.19000000006</v>
      </c>
      <c r="E19" s="12">
        <f t="shared" ref="E19:G19" si="1">SUM(E15:E18)</f>
        <v>-128669.84</v>
      </c>
      <c r="F19" s="12">
        <f t="shared" si="1"/>
        <v>-563758.29</v>
      </c>
      <c r="G19" s="12">
        <f t="shared" si="1"/>
        <v>-1607602.32</v>
      </c>
      <c r="I19" s="17">
        <f t="shared" si="0"/>
        <v>-1607602.32</v>
      </c>
      <c r="J19" s="14" t="str">
        <f>IFERROR(VLOOKUP(B19,'Collection Rate'!B:C,2,0),"")</f>
        <v/>
      </c>
    </row>
    <row r="20" spans="2:10" x14ac:dyDescent="0.3">
      <c r="D20" s="10"/>
      <c r="E20" s="10"/>
      <c r="F20" s="10"/>
      <c r="G20" s="10"/>
      <c r="I20" s="17">
        <f t="shared" si="0"/>
        <v>0</v>
      </c>
      <c r="J20" s="14" t="str">
        <f>IFERROR(VLOOKUP(B20,'Collection Rate'!B:C,2,0),"")</f>
        <v/>
      </c>
    </row>
    <row r="21" spans="2:10" x14ac:dyDescent="0.3">
      <c r="B21" t="s">
        <v>34</v>
      </c>
      <c r="C21" t="s">
        <v>57</v>
      </c>
      <c r="D21" s="10">
        <v>-49298.1</v>
      </c>
      <c r="E21" s="10">
        <v>0</v>
      </c>
      <c r="F21" s="10">
        <v>-30109.200000000001</v>
      </c>
      <c r="G21" s="10">
        <v>-79407.3</v>
      </c>
      <c r="I21" s="17">
        <f t="shared" si="0"/>
        <v>-79407.3</v>
      </c>
      <c r="J21" s="14" t="str">
        <f>IFERROR(VLOOKUP(B21,'Collection Rate'!B:C,2,0),"")</f>
        <v xml:space="preserve">Rates  </v>
      </c>
    </row>
    <row r="22" spans="2:10" x14ac:dyDescent="0.3">
      <c r="B22" t="s">
        <v>57</v>
      </c>
      <c r="C22" t="s">
        <v>151</v>
      </c>
      <c r="D22" s="10">
        <v>0</v>
      </c>
      <c r="E22" s="10">
        <v>0</v>
      </c>
      <c r="F22" s="10">
        <v>-693.25</v>
      </c>
      <c r="G22" s="10">
        <v>-693.25</v>
      </c>
      <c r="I22" s="17">
        <f t="shared" si="0"/>
        <v>-693.25</v>
      </c>
      <c r="J22" s="14" t="str">
        <f>IFERROR(VLOOKUP(B22,'Collection Rate'!B:C,2,0),"")</f>
        <v xml:space="preserve">Rates  </v>
      </c>
    </row>
    <row r="23" spans="2:10" x14ac:dyDescent="0.3">
      <c r="B23" t="s">
        <v>57</v>
      </c>
      <c r="C23" t="s">
        <v>152</v>
      </c>
      <c r="D23" s="10">
        <v>-821.89</v>
      </c>
      <c r="E23" s="10">
        <v>0</v>
      </c>
      <c r="F23" s="10">
        <v>-144.16999999999999</v>
      </c>
      <c r="G23" s="10">
        <v>-966.06</v>
      </c>
      <c r="I23" s="17">
        <f t="shared" si="0"/>
        <v>-966.06</v>
      </c>
      <c r="J23" s="14" t="str">
        <f>IFERROR(VLOOKUP(B23,'Collection Rate'!B:C,2,0),"")</f>
        <v xml:space="preserve">Rates  </v>
      </c>
    </row>
    <row r="24" spans="2:10" x14ac:dyDescent="0.3">
      <c r="B24" t="s">
        <v>57</v>
      </c>
      <c r="C24" t="s">
        <v>153</v>
      </c>
      <c r="D24" s="10">
        <v>-322265.75</v>
      </c>
      <c r="E24" s="10">
        <v>0</v>
      </c>
      <c r="F24" s="10">
        <v>-222942.39</v>
      </c>
      <c r="G24" s="10">
        <v>-545208.14</v>
      </c>
      <c r="I24" s="17">
        <f t="shared" si="0"/>
        <v>-545208.14</v>
      </c>
      <c r="J24" s="14" t="str">
        <f>IFERROR(VLOOKUP(B24,'Collection Rate'!B:C,2,0),"")</f>
        <v xml:space="preserve">Rates  </v>
      </c>
    </row>
    <row r="25" spans="2:10" x14ac:dyDescent="0.3">
      <c r="B25" t="s">
        <v>57</v>
      </c>
      <c r="C25" t="s">
        <v>154</v>
      </c>
      <c r="D25" s="10">
        <v>-30853.42</v>
      </c>
      <c r="E25" s="10">
        <v>0</v>
      </c>
      <c r="F25" s="10">
        <v>-21553.99</v>
      </c>
      <c r="G25" s="10">
        <v>-52407.41</v>
      </c>
      <c r="I25" s="17">
        <f t="shared" si="0"/>
        <v>-52407.41</v>
      </c>
      <c r="J25" s="14" t="str">
        <f>IFERROR(VLOOKUP(B25,'Collection Rate'!B:C,2,0),"")</f>
        <v xml:space="preserve">Rates  </v>
      </c>
    </row>
    <row r="26" spans="2:10" x14ac:dyDescent="0.3">
      <c r="D26" s="12">
        <f>SUM(D21:D25)</f>
        <v>-403239.16</v>
      </c>
      <c r="E26" s="12">
        <f t="shared" ref="E26:G26" si="2">SUM(E21:E25)</f>
        <v>0</v>
      </c>
      <c r="F26" s="12">
        <f t="shared" si="2"/>
        <v>-275443</v>
      </c>
      <c r="G26" s="12">
        <f t="shared" si="2"/>
        <v>-678682.16</v>
      </c>
      <c r="I26" s="17">
        <f t="shared" si="0"/>
        <v>-678682.16</v>
      </c>
      <c r="J26" s="14" t="str">
        <f>IFERROR(VLOOKUP(B26,'Collection Rate'!B:C,2,0),"")</f>
        <v/>
      </c>
    </row>
    <row r="27" spans="2:10" x14ac:dyDescent="0.3">
      <c r="D27" s="10"/>
      <c r="E27" s="10"/>
      <c r="F27" s="10"/>
      <c r="G27" s="10"/>
      <c r="I27" s="17">
        <f t="shared" si="0"/>
        <v>0</v>
      </c>
      <c r="J27" s="14" t="str">
        <f>IFERROR(VLOOKUP(B27,'Collection Rate'!B:C,2,0),"")</f>
        <v/>
      </c>
    </row>
    <row r="28" spans="2:10" x14ac:dyDescent="0.3">
      <c r="B28" t="s">
        <v>58</v>
      </c>
      <c r="C28" t="s">
        <v>118</v>
      </c>
      <c r="D28" s="12">
        <v>-5715533.75</v>
      </c>
      <c r="E28" s="12">
        <v>-802109.34</v>
      </c>
      <c r="F28" s="12">
        <v>-2509219.75</v>
      </c>
      <c r="G28" s="12">
        <v>-9026862.8399999999</v>
      </c>
      <c r="I28" s="17">
        <f t="shared" si="0"/>
        <v>-9026862.8399999999</v>
      </c>
      <c r="J28" s="14" t="str">
        <f>IFERROR(VLOOKUP(B28,'Collection Rate'!B:C,2,0),"")</f>
        <v>Refuse</v>
      </c>
    </row>
    <row r="29" spans="2:10" x14ac:dyDescent="0.3">
      <c r="D29" s="10"/>
      <c r="E29" s="10"/>
      <c r="F29" s="10"/>
      <c r="G29" s="10"/>
      <c r="I29" s="17">
        <f t="shared" si="0"/>
        <v>0</v>
      </c>
      <c r="J29" s="14" t="str">
        <f>IFERROR(VLOOKUP(B29,'Collection Rate'!B:C,2,0),"")</f>
        <v/>
      </c>
    </row>
    <row r="30" spans="2:10" x14ac:dyDescent="0.3">
      <c r="B30" t="s">
        <v>61</v>
      </c>
      <c r="C30" t="s">
        <v>114</v>
      </c>
      <c r="D30" s="10">
        <v>-7361.84</v>
      </c>
      <c r="E30" s="10">
        <v>-1030.6199999999999</v>
      </c>
      <c r="F30" s="10">
        <v>-2435.83</v>
      </c>
      <c r="G30" s="10">
        <v>-10828.29</v>
      </c>
      <c r="I30" s="17">
        <f t="shared" si="0"/>
        <v>-10828.29</v>
      </c>
      <c r="J30" s="14" t="str">
        <f>IFERROR(VLOOKUP(B30,'Collection Rate'!B:C,2,0),"")</f>
        <v>Sewerage</v>
      </c>
    </row>
    <row r="31" spans="2:10" x14ac:dyDescent="0.3">
      <c r="B31" t="s">
        <v>61</v>
      </c>
      <c r="C31" t="s">
        <v>120</v>
      </c>
      <c r="D31" s="10">
        <v>-4340777.8499999996</v>
      </c>
      <c r="E31" s="10">
        <v>-608847.06999999995</v>
      </c>
      <c r="F31" s="10">
        <v>-1915632.65</v>
      </c>
      <c r="G31" s="10">
        <v>-6865257.5700000003</v>
      </c>
      <c r="I31" s="17">
        <f t="shared" si="0"/>
        <v>-6865257.5700000003</v>
      </c>
      <c r="J31" s="14" t="str">
        <f>IFERROR(VLOOKUP(B31,'Collection Rate'!B:C,2,0),"")</f>
        <v>Sewerage</v>
      </c>
    </row>
    <row r="32" spans="2:10" x14ac:dyDescent="0.3">
      <c r="B32" t="s">
        <v>61</v>
      </c>
      <c r="C32" t="s">
        <v>155</v>
      </c>
      <c r="D32" s="10">
        <v>-22919.23</v>
      </c>
      <c r="E32" s="10">
        <v>-3208.69</v>
      </c>
      <c r="F32" s="10">
        <v>-9622.75</v>
      </c>
      <c r="G32" s="10">
        <v>-35750.67</v>
      </c>
      <c r="I32" s="17">
        <f t="shared" si="0"/>
        <v>-35750.67</v>
      </c>
      <c r="J32" s="14" t="str">
        <f>IFERROR(VLOOKUP(B32,'Collection Rate'!B:C,2,0),"")</f>
        <v>Sewerage</v>
      </c>
    </row>
    <row r="33" spans="2:10" x14ac:dyDescent="0.3">
      <c r="B33" t="s">
        <v>61</v>
      </c>
      <c r="C33" t="s">
        <v>121</v>
      </c>
      <c r="D33" s="10">
        <v>-292966.39</v>
      </c>
      <c r="E33" s="10">
        <v>-41170.019999999997</v>
      </c>
      <c r="F33" s="10">
        <v>-125400.76</v>
      </c>
      <c r="G33" s="10">
        <v>-459537.17</v>
      </c>
      <c r="I33" s="17">
        <f t="shared" si="0"/>
        <v>-459537.17</v>
      </c>
      <c r="J33" s="14" t="str">
        <f>IFERROR(VLOOKUP(B33,'Collection Rate'!B:C,2,0),"")</f>
        <v>Sewerage</v>
      </c>
    </row>
    <row r="34" spans="2:10" x14ac:dyDescent="0.3">
      <c r="B34" t="s">
        <v>61</v>
      </c>
      <c r="C34" t="s">
        <v>156</v>
      </c>
      <c r="D34" s="10">
        <v>-132938.98000000001</v>
      </c>
      <c r="E34" s="10">
        <v>-18610.62</v>
      </c>
      <c r="F34" s="10">
        <v>-66865.95</v>
      </c>
      <c r="G34" s="10">
        <v>-218415.55</v>
      </c>
      <c r="I34" s="17">
        <f t="shared" si="0"/>
        <v>-218415.55</v>
      </c>
      <c r="J34" s="14" t="str">
        <f>IFERROR(VLOOKUP(B34,'Collection Rate'!B:C,2,0),"")</f>
        <v>Sewerage</v>
      </c>
    </row>
    <row r="35" spans="2:10" x14ac:dyDescent="0.3">
      <c r="B35" t="s">
        <v>61</v>
      </c>
      <c r="C35" t="s">
        <v>157</v>
      </c>
      <c r="D35" s="10">
        <v>-464383.92</v>
      </c>
      <c r="E35" s="10">
        <v>-64876.55</v>
      </c>
      <c r="F35" s="10">
        <v>-227316.22</v>
      </c>
      <c r="G35" s="10">
        <v>-756576.69</v>
      </c>
      <c r="I35" s="17">
        <f t="shared" si="0"/>
        <v>-756576.69</v>
      </c>
      <c r="J35" s="14" t="str">
        <f>IFERROR(VLOOKUP(B35,'Collection Rate'!B:C,2,0),"")</f>
        <v>Sewerage</v>
      </c>
    </row>
    <row r="36" spans="2:10" x14ac:dyDescent="0.3">
      <c r="B36" t="s">
        <v>61</v>
      </c>
      <c r="C36" t="s">
        <v>116</v>
      </c>
      <c r="D36" s="10">
        <v>-336359.54</v>
      </c>
      <c r="E36" s="10">
        <v>-47706.55</v>
      </c>
      <c r="F36" s="10">
        <v>-98551.84</v>
      </c>
      <c r="G36" s="10">
        <v>-482617.93</v>
      </c>
      <c r="I36" s="17">
        <f t="shared" si="0"/>
        <v>-482617.93</v>
      </c>
      <c r="J36" s="14" t="str">
        <f>IFERROR(VLOOKUP(B36,'Collection Rate'!B:C,2,0),"")</f>
        <v>Sewerage</v>
      </c>
    </row>
    <row r="37" spans="2:10" x14ac:dyDescent="0.3">
      <c r="B37" t="s">
        <v>61</v>
      </c>
      <c r="C37" t="s">
        <v>122</v>
      </c>
      <c r="D37" s="10">
        <v>-7195.5</v>
      </c>
      <c r="E37" s="10">
        <v>-1012.16</v>
      </c>
      <c r="F37" s="10">
        <v>-3089.7</v>
      </c>
      <c r="G37" s="10">
        <v>-11297.36</v>
      </c>
      <c r="I37" s="17">
        <f t="shared" si="0"/>
        <v>-11297.36</v>
      </c>
      <c r="J37" s="14" t="str">
        <f>IFERROR(VLOOKUP(B37,'Collection Rate'!B:C,2,0),"")</f>
        <v>Sewerage</v>
      </c>
    </row>
    <row r="38" spans="2:10" x14ac:dyDescent="0.3">
      <c r="D38" s="12">
        <f>SUM(D30:D37)</f>
        <v>-5604903.25</v>
      </c>
      <c r="E38" s="12">
        <f t="shared" ref="E38:G38" si="3">SUM(E30:E37)</f>
        <v>-786462.28</v>
      </c>
      <c r="F38" s="12">
        <f t="shared" si="3"/>
        <v>-2448915.7000000002</v>
      </c>
      <c r="G38" s="12">
        <f t="shared" si="3"/>
        <v>-8840281.2299999986</v>
      </c>
      <c r="I38" s="17">
        <f t="shared" si="0"/>
        <v>-8840281.2299999986</v>
      </c>
      <c r="J38" s="14" t="str">
        <f>IFERROR(VLOOKUP(B38,'Collection Rate'!B:C,2,0),"")</f>
        <v/>
      </c>
    </row>
    <row r="39" spans="2:10" x14ac:dyDescent="0.3">
      <c r="D39" s="10"/>
      <c r="E39" s="10"/>
      <c r="F39" s="10"/>
      <c r="G39" s="10"/>
      <c r="I39" s="17">
        <f t="shared" si="0"/>
        <v>0</v>
      </c>
      <c r="J39" s="14" t="str">
        <f>IFERROR(VLOOKUP(B39,'Collection Rate'!B:C,2,0),"")</f>
        <v/>
      </c>
    </row>
    <row r="40" spans="2:10" x14ac:dyDescent="0.3">
      <c r="B40" t="s">
        <v>62</v>
      </c>
      <c r="C40" t="s">
        <v>158</v>
      </c>
      <c r="D40" s="10">
        <v>-159351.46</v>
      </c>
      <c r="E40" s="10">
        <v>-22335.64</v>
      </c>
      <c r="F40" s="10">
        <v>-123620.07</v>
      </c>
      <c r="G40" s="10">
        <v>-305307.17</v>
      </c>
      <c r="I40" s="17">
        <f t="shared" si="0"/>
        <v>-305307.17</v>
      </c>
      <c r="J40" s="14" t="str">
        <f>IFERROR(VLOOKUP(B40,'Collection Rate'!B:C,2,0),"")</f>
        <v>Sundries</v>
      </c>
    </row>
    <row r="41" spans="2:10" x14ac:dyDescent="0.3">
      <c r="B41" t="s">
        <v>62</v>
      </c>
      <c r="C41" t="s">
        <v>123</v>
      </c>
      <c r="D41" s="10">
        <v>-79007.34</v>
      </c>
      <c r="E41" s="10">
        <v>0</v>
      </c>
      <c r="F41" s="10">
        <v>-37101.449999999997</v>
      </c>
      <c r="G41" s="10">
        <v>-116108.79</v>
      </c>
      <c r="I41" s="17">
        <f t="shared" si="0"/>
        <v>-116108.79</v>
      </c>
      <c r="J41" s="14" t="str">
        <f>IFERROR(VLOOKUP(B41,'Collection Rate'!B:C,2,0),"")</f>
        <v>Sundries</v>
      </c>
    </row>
    <row r="42" spans="2:10" x14ac:dyDescent="0.3">
      <c r="B42" t="s">
        <v>62</v>
      </c>
      <c r="C42" t="s">
        <v>124</v>
      </c>
      <c r="D42" s="10">
        <v>-3823.33</v>
      </c>
      <c r="E42" s="10">
        <v>-544.66999999999996</v>
      </c>
      <c r="F42" s="10">
        <v>-1097.1199999999999</v>
      </c>
      <c r="G42" s="10">
        <v>-5465.12</v>
      </c>
      <c r="I42" s="17">
        <f t="shared" si="0"/>
        <v>-5465.12</v>
      </c>
      <c r="J42" s="14" t="str">
        <f>IFERROR(VLOOKUP(B42,'Collection Rate'!B:C,2,0),"")</f>
        <v>Sundries</v>
      </c>
    </row>
    <row r="43" spans="2:10" x14ac:dyDescent="0.3">
      <c r="B43" t="s">
        <v>62</v>
      </c>
      <c r="C43" t="s">
        <v>125</v>
      </c>
      <c r="D43" s="10">
        <v>-67434.16</v>
      </c>
      <c r="E43" s="10">
        <v>-249.29</v>
      </c>
      <c r="F43" s="10">
        <v>-5082.6899999999996</v>
      </c>
      <c r="G43" s="10">
        <v>-72766.14</v>
      </c>
      <c r="I43" s="17">
        <f t="shared" si="0"/>
        <v>-72766.14</v>
      </c>
      <c r="J43" s="14" t="str">
        <f>IFERROR(VLOOKUP(B43,'Collection Rate'!B:C,2,0),"")</f>
        <v>Sundries</v>
      </c>
    </row>
    <row r="44" spans="2:10" x14ac:dyDescent="0.3">
      <c r="B44" t="s">
        <v>62</v>
      </c>
      <c r="C44" t="s">
        <v>126</v>
      </c>
      <c r="D44" s="10">
        <v>-89656.48</v>
      </c>
      <c r="E44" s="10">
        <v>-8100.61</v>
      </c>
      <c r="F44" s="10">
        <v>-59578.41</v>
      </c>
      <c r="G44" s="10">
        <v>-157335.5</v>
      </c>
      <c r="I44" s="17">
        <f t="shared" si="0"/>
        <v>-157335.5</v>
      </c>
      <c r="J44" s="14" t="str">
        <f>IFERROR(VLOOKUP(B44,'Collection Rate'!B:C,2,0),"")</f>
        <v>Sundries</v>
      </c>
    </row>
    <row r="45" spans="2:10" x14ac:dyDescent="0.3">
      <c r="B45" t="s">
        <v>62</v>
      </c>
      <c r="C45" t="s">
        <v>122</v>
      </c>
      <c r="D45" s="10">
        <v>-169.68</v>
      </c>
      <c r="E45" s="10">
        <v>-27.62</v>
      </c>
      <c r="F45" s="10">
        <v>-59.85</v>
      </c>
      <c r="G45" s="10">
        <v>-257.14999999999998</v>
      </c>
      <c r="I45" s="17">
        <f t="shared" si="0"/>
        <v>-257.14999999999998</v>
      </c>
      <c r="J45" s="14" t="str">
        <f>IFERROR(VLOOKUP(B45,'Collection Rate'!B:C,2,0),"")</f>
        <v>Sundries</v>
      </c>
    </row>
    <row r="46" spans="2:10" x14ac:dyDescent="0.3">
      <c r="B46" t="s">
        <v>62</v>
      </c>
      <c r="C46" t="s">
        <v>119</v>
      </c>
      <c r="D46" s="10">
        <v>-23086.18</v>
      </c>
      <c r="E46" s="10">
        <v>-79.62</v>
      </c>
      <c r="F46" s="10">
        <v>-16883.73</v>
      </c>
      <c r="G46" s="10">
        <v>-40049.53</v>
      </c>
      <c r="I46" s="17">
        <f t="shared" si="0"/>
        <v>-40049.53</v>
      </c>
      <c r="J46" s="14" t="str">
        <f>IFERROR(VLOOKUP(B46,'Collection Rate'!B:C,2,0),"")</f>
        <v>Sundries</v>
      </c>
    </row>
    <row r="47" spans="2:10" x14ac:dyDescent="0.3">
      <c r="D47" s="12">
        <f>SUM(D40:D46)</f>
        <v>-422528.62999999995</v>
      </c>
      <c r="E47" s="12">
        <f t="shared" ref="E47:G47" si="4">SUM(E40:E46)</f>
        <v>-31337.449999999997</v>
      </c>
      <c r="F47" s="12">
        <f t="shared" si="4"/>
        <v>-243423.32000000004</v>
      </c>
      <c r="G47" s="12">
        <f t="shared" si="4"/>
        <v>-697289.4</v>
      </c>
      <c r="I47" s="17">
        <f t="shared" si="0"/>
        <v>-697289.4</v>
      </c>
      <c r="J47" s="14" t="str">
        <f>IFERROR(VLOOKUP(B47,'Collection Rate'!B:C,2,0),"")</f>
        <v/>
      </c>
    </row>
    <row r="48" spans="2:10" x14ac:dyDescent="0.3">
      <c r="D48" s="10"/>
      <c r="E48" s="10"/>
      <c r="F48" s="10"/>
      <c r="G48" s="10"/>
      <c r="I48" s="17">
        <f t="shared" si="0"/>
        <v>0</v>
      </c>
      <c r="J48" s="14" t="str">
        <f>IFERROR(VLOOKUP(B48,'Collection Rate'!B:C,2,0),"")</f>
        <v/>
      </c>
    </row>
    <row r="49" spans="1:10" x14ac:dyDescent="0.3">
      <c r="B49" t="s">
        <v>63</v>
      </c>
      <c r="C49" t="s">
        <v>114</v>
      </c>
      <c r="D49" s="10">
        <v>-190393.23</v>
      </c>
      <c r="E49" s="10">
        <v>-26237.15</v>
      </c>
      <c r="F49" s="10">
        <v>-83749.460000000006</v>
      </c>
      <c r="G49" s="10">
        <v>-300379.84000000003</v>
      </c>
      <c r="I49" s="17">
        <f t="shared" si="0"/>
        <v>-300379.84000000003</v>
      </c>
      <c r="J49" s="14" t="str">
        <f>IFERROR(VLOOKUP(B49,'Collection Rate'!B:C,2,0),"")</f>
        <v>Water</v>
      </c>
    </row>
    <row r="50" spans="1:10" x14ac:dyDescent="0.3">
      <c r="B50" t="s">
        <v>63</v>
      </c>
      <c r="C50" t="s">
        <v>115</v>
      </c>
      <c r="D50" s="10">
        <v>-6649802.3799999999</v>
      </c>
      <c r="E50" s="10">
        <v>-912556.14</v>
      </c>
      <c r="F50" s="10">
        <v>-2908780.61</v>
      </c>
      <c r="G50" s="10">
        <v>-10471139.130000001</v>
      </c>
      <c r="I50" s="17">
        <f t="shared" si="0"/>
        <v>-10471139.130000001</v>
      </c>
      <c r="J50" s="14" t="str">
        <f>IFERROR(VLOOKUP(B50,'Collection Rate'!B:C,2,0),"")</f>
        <v>Water</v>
      </c>
    </row>
    <row r="51" spans="1:10" x14ac:dyDescent="0.3">
      <c r="B51" t="s">
        <v>60</v>
      </c>
      <c r="C51" t="s">
        <v>63</v>
      </c>
      <c r="D51" s="10">
        <v>-1259</v>
      </c>
      <c r="E51" s="10">
        <v>-176.25</v>
      </c>
      <c r="F51" s="10">
        <v>-416.47</v>
      </c>
      <c r="G51" s="10">
        <v>-1851.72</v>
      </c>
      <c r="I51" s="17">
        <f t="shared" si="0"/>
        <v>-1851.72</v>
      </c>
      <c r="J51" s="14" t="str">
        <f>IFERROR(VLOOKUP(B51,'Collection Rate'!B:C,2,0),"")</f>
        <v>Water</v>
      </c>
    </row>
    <row r="52" spans="1:10" x14ac:dyDescent="0.3">
      <c r="B52" t="s">
        <v>60</v>
      </c>
      <c r="C52" t="s">
        <v>159</v>
      </c>
      <c r="D52" s="10">
        <v>-1229.58</v>
      </c>
      <c r="E52" s="10">
        <v>-172.16</v>
      </c>
      <c r="F52" s="10">
        <v>-489.03</v>
      </c>
      <c r="G52" s="10">
        <v>-1890.77</v>
      </c>
      <c r="I52" s="17">
        <f t="shared" si="0"/>
        <v>-1890.77</v>
      </c>
      <c r="J52" s="14" t="str">
        <f>IFERROR(VLOOKUP(B52,'Collection Rate'!B:C,2,0),"")</f>
        <v>Water</v>
      </c>
    </row>
    <row r="53" spans="1:10" x14ac:dyDescent="0.3">
      <c r="D53" s="12">
        <f>SUM(D49:D52)</f>
        <v>-6842684.1900000004</v>
      </c>
      <c r="E53" s="12">
        <f t="shared" ref="E53:G53" si="5">SUM(E49:E52)</f>
        <v>-939141.70000000007</v>
      </c>
      <c r="F53" s="12">
        <f t="shared" si="5"/>
        <v>-2993435.57</v>
      </c>
      <c r="G53" s="12">
        <f t="shared" si="5"/>
        <v>-10775261.460000001</v>
      </c>
      <c r="I53" s="17">
        <f t="shared" si="0"/>
        <v>-10775261.460000001</v>
      </c>
      <c r="J53" s="14" t="str">
        <f>IFERROR(VLOOKUP(B53,'Collection Rate'!B:C,2,0),"")</f>
        <v/>
      </c>
    </row>
    <row r="54" spans="1:10" x14ac:dyDescent="0.3">
      <c r="D54" s="10"/>
      <c r="E54" s="10"/>
      <c r="F54" s="10"/>
      <c r="G54" s="10"/>
    </row>
    <row r="55" spans="1:10" x14ac:dyDescent="0.3">
      <c r="D55" s="10">
        <f>D19+D28+D26+D38+D47+D53</f>
        <v>-19904063.170000002</v>
      </c>
      <c r="E55" s="10">
        <f t="shared" ref="E55:G55" si="6">E19+E28+E26+E38+E47+E53</f>
        <v>-2687720.61</v>
      </c>
      <c r="F55" s="10">
        <f t="shared" si="6"/>
        <v>-9034195.6300000008</v>
      </c>
      <c r="G55" s="10">
        <f t="shared" si="6"/>
        <v>-31625979.409999996</v>
      </c>
    </row>
    <row r="56" spans="1:10" x14ac:dyDescent="0.3">
      <c r="D56" s="10"/>
      <c r="E56" s="10"/>
      <c r="F56" s="10"/>
      <c r="G56" s="10"/>
    </row>
    <row r="57" spans="1:10" x14ac:dyDescent="0.3">
      <c r="D57" s="10" t="s">
        <v>67</v>
      </c>
      <c r="E57" s="10" t="s">
        <v>67</v>
      </c>
      <c r="F57" s="10" t="s">
        <v>67</v>
      </c>
      <c r="G57" s="10" t="s">
        <v>67</v>
      </c>
    </row>
    <row r="58" spans="1:10" x14ac:dyDescent="0.3">
      <c r="A58" t="s">
        <v>160</v>
      </c>
      <c r="B58" t="s">
        <v>161</v>
      </c>
      <c r="C58">
        <v>2018</v>
      </c>
      <c r="D58" s="10">
        <v>-19904063.170000002</v>
      </c>
      <c r="E58" s="10">
        <v>-2687720.61</v>
      </c>
      <c r="F58" s="10">
        <v>-9034195.6300000008</v>
      </c>
      <c r="G58" s="10">
        <v>-31625979.41</v>
      </c>
    </row>
    <row r="59" spans="1:10" x14ac:dyDescent="0.3">
      <c r="D59" s="10" t="s">
        <v>67</v>
      </c>
      <c r="E59" s="10" t="s">
        <v>67</v>
      </c>
      <c r="F59" s="10" t="s">
        <v>67</v>
      </c>
      <c r="G59" s="10" t="s">
        <v>67</v>
      </c>
    </row>
    <row r="60" spans="1:10" x14ac:dyDescent="0.3">
      <c r="B60" t="s">
        <v>162</v>
      </c>
      <c r="C60">
        <v>202108</v>
      </c>
      <c r="D60" s="10">
        <v>-19904063.170000002</v>
      </c>
      <c r="E60" s="10">
        <v>-2687720.61</v>
      </c>
      <c r="F60" s="10">
        <v>-9034195.6300000008</v>
      </c>
      <c r="G60" s="10">
        <v>-31625979.41</v>
      </c>
    </row>
    <row r="61" spans="1:10" x14ac:dyDescent="0.3">
      <c r="D61" s="10" t="s">
        <v>67</v>
      </c>
      <c r="E61" s="10" t="s">
        <v>67</v>
      </c>
      <c r="F61" s="10" t="s">
        <v>67</v>
      </c>
      <c r="G61" s="10" t="s">
        <v>67</v>
      </c>
    </row>
    <row r="62" spans="1:10" x14ac:dyDescent="0.3">
      <c r="B62" t="s">
        <v>163</v>
      </c>
      <c r="C62" t="s">
        <v>134</v>
      </c>
      <c r="D62" s="10">
        <v>-19904063.170000002</v>
      </c>
      <c r="E62" s="10">
        <v>-2687720.61</v>
      </c>
      <c r="F62" s="10">
        <v>-9034195.6300000008</v>
      </c>
      <c r="G62" s="10">
        <v>-31625979.41</v>
      </c>
    </row>
    <row r="63" spans="1:10" x14ac:dyDescent="0.3">
      <c r="D63" t="s">
        <v>14</v>
      </c>
      <c r="E63" t="s">
        <v>14</v>
      </c>
      <c r="F63" t="s">
        <v>14</v>
      </c>
      <c r="G63" t="s">
        <v>14</v>
      </c>
    </row>
    <row r="64" spans="1:10" x14ac:dyDescent="0.3">
      <c r="A64" t="s">
        <v>135</v>
      </c>
      <c r="B64" t="s">
        <v>136</v>
      </c>
    </row>
    <row r="65" spans="7:7" x14ac:dyDescent="0.3">
      <c r="G65" s="17">
        <f>G62-E62</f>
        <v>-28938258.800000001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2:O168"/>
  <sheetViews>
    <sheetView workbookViewId="0">
      <selection activeCell="I170" sqref="I170"/>
    </sheetView>
  </sheetViews>
  <sheetFormatPr defaultRowHeight="12" x14ac:dyDescent="0.25"/>
  <cols>
    <col min="1" max="1" width="8.88671875" style="1"/>
    <col min="2" max="2" width="12.6640625" style="1" bestFit="1" customWidth="1"/>
    <col min="3" max="3" width="12" style="2" bestFit="1" customWidth="1"/>
    <col min="4" max="4" width="11.88671875" style="1" bestFit="1" customWidth="1"/>
    <col min="5" max="5" width="11.77734375" style="1" customWidth="1"/>
    <col min="6" max="6" width="11.88671875" style="1" bestFit="1" customWidth="1"/>
    <col min="7" max="7" width="12.77734375" style="2" customWidth="1"/>
    <col min="8" max="8" width="9.33203125" style="1" bestFit="1" customWidth="1"/>
    <col min="9" max="9" width="10.88671875" style="1" bestFit="1" customWidth="1"/>
    <col min="10" max="10" width="12.6640625" style="1" bestFit="1" customWidth="1"/>
    <col min="11" max="11" width="12.6640625" style="21" customWidth="1"/>
    <col min="12" max="12" width="8.88671875" style="14"/>
    <col min="13" max="14" width="8.88671875" style="1"/>
    <col min="15" max="15" width="11.6640625" style="1" bestFit="1" customWidth="1"/>
    <col min="16" max="16384" width="8.88671875" style="1"/>
  </cols>
  <sheetData>
    <row r="2" spans="1:12" x14ac:dyDescent="0.25">
      <c r="A2" s="1" t="s">
        <v>0</v>
      </c>
      <c r="B2" s="1" t="s">
        <v>1</v>
      </c>
      <c r="C2" s="2" t="s">
        <v>2</v>
      </c>
      <c r="D2" s="1" t="s">
        <v>3</v>
      </c>
      <c r="J2" s="1" t="s">
        <v>4</v>
      </c>
    </row>
    <row r="3" spans="1:12" x14ac:dyDescent="0.25">
      <c r="A3" s="1" t="s">
        <v>5</v>
      </c>
      <c r="B3" s="1" t="s">
        <v>6</v>
      </c>
      <c r="C3" s="2" t="s">
        <v>7</v>
      </c>
    </row>
    <row r="5" spans="1:12" x14ac:dyDescent="0.25">
      <c r="B5" s="1" t="s">
        <v>8</v>
      </c>
      <c r="C5" s="2" t="s">
        <v>9</v>
      </c>
      <c r="D5" s="1" t="s">
        <v>10</v>
      </c>
      <c r="E5" s="1" t="s">
        <v>11</v>
      </c>
      <c r="F5" s="1" t="s">
        <v>12</v>
      </c>
    </row>
    <row r="6" spans="1:12" x14ac:dyDescent="0.25">
      <c r="B6" s="1" t="s">
        <v>13</v>
      </c>
      <c r="C6" s="2" t="s">
        <v>14</v>
      </c>
      <c r="D6" s="1" t="s">
        <v>15</v>
      </c>
      <c r="E6" s="1" t="s">
        <v>14</v>
      </c>
      <c r="F6" s="1" t="s">
        <v>16</v>
      </c>
    </row>
    <row r="7" spans="1:12" x14ac:dyDescent="0.25">
      <c r="B7" s="1" t="s">
        <v>17</v>
      </c>
      <c r="C7" s="2" t="s">
        <v>18</v>
      </c>
      <c r="D7" s="1" t="s">
        <v>19</v>
      </c>
    </row>
    <row r="9" spans="1:12" x14ac:dyDescent="0.25">
      <c r="A9" s="1" t="s">
        <v>20</v>
      </c>
      <c r="B9" s="1" t="s">
        <v>21</v>
      </c>
      <c r="C9" s="2" t="s">
        <v>22</v>
      </c>
      <c r="D9" s="1" t="s">
        <v>23</v>
      </c>
      <c r="E9" s="1" t="s">
        <v>24</v>
      </c>
      <c r="F9" s="1" t="s">
        <v>25</v>
      </c>
      <c r="G9" s="2" t="s">
        <v>26</v>
      </c>
      <c r="H9" s="1" t="s">
        <v>27</v>
      </c>
      <c r="I9" s="1" t="s">
        <v>28</v>
      </c>
      <c r="J9" s="1" t="s">
        <v>29</v>
      </c>
    </row>
    <row r="10" spans="1:12" hidden="1" x14ac:dyDescent="0.25">
      <c r="B10" s="1" t="s">
        <v>30</v>
      </c>
      <c r="C10" s="1"/>
      <c r="E10" s="1" t="s">
        <v>26</v>
      </c>
      <c r="G10" s="1"/>
      <c r="J10" s="1" t="s">
        <v>30</v>
      </c>
      <c r="K10" s="1"/>
    </row>
    <row r="11" spans="1:12" hidden="1" x14ac:dyDescent="0.25">
      <c r="C11" s="1"/>
      <c r="G11" s="1"/>
      <c r="K11" s="1"/>
    </row>
    <row r="12" spans="1:12" hidden="1" x14ac:dyDescent="0.25">
      <c r="A12" s="1" t="s">
        <v>31</v>
      </c>
      <c r="B12" s="2">
        <v>6794345.3899999997</v>
      </c>
      <c r="C12" s="2">
        <v>4512410.4000000004</v>
      </c>
      <c r="D12" s="2">
        <v>-3279589.38</v>
      </c>
      <c r="E12" s="2">
        <v>-165335.25</v>
      </c>
      <c r="F12" s="2">
        <v>-606.28</v>
      </c>
      <c r="G12" s="2">
        <v>-52172.72</v>
      </c>
      <c r="H12" s="2"/>
      <c r="I12" s="2">
        <v>16024</v>
      </c>
      <c r="J12" s="2">
        <v>7825076.1600000001</v>
      </c>
      <c r="K12" s="22">
        <f>C12+E12+F12+G12+H12+I12</f>
        <v>4310320.1500000004</v>
      </c>
      <c r="L12" s="14" t="str">
        <f>IFERROR(VLOOKUP(A12,'Collection Rate'!B:C,2,0),"")</f>
        <v>Electricity</v>
      </c>
    </row>
    <row r="13" spans="1:12" hidden="1" x14ac:dyDescent="0.25">
      <c r="A13" s="1" t="s">
        <v>32</v>
      </c>
      <c r="B13" s="2">
        <v>632975.81999999995</v>
      </c>
      <c r="D13" s="2">
        <v>-2385.42</v>
      </c>
      <c r="E13" s="2">
        <v>-1124.8699999999999</v>
      </c>
      <c r="F13" s="2">
        <v>-320.36</v>
      </c>
      <c r="H13" s="2"/>
      <c r="I13" s="2">
        <v>3449.77</v>
      </c>
      <c r="J13" s="2">
        <v>632594.93999999994</v>
      </c>
      <c r="K13" s="22">
        <f t="shared" ref="K13:K76" si="0">C13+E13+F13+G13+H13+I13</f>
        <v>2004.54</v>
      </c>
      <c r="L13" s="14" t="str">
        <f>IFERROR(VLOOKUP(A13,'Collection Rate'!B:C,2,0),"")</f>
        <v>Sundries</v>
      </c>
    </row>
    <row r="14" spans="1:12" hidden="1" x14ac:dyDescent="0.25">
      <c r="A14" s="1" t="s">
        <v>33</v>
      </c>
      <c r="B14" s="2">
        <v>57</v>
      </c>
      <c r="D14" s="2"/>
      <c r="E14" s="2"/>
      <c r="F14" s="2"/>
      <c r="H14" s="2"/>
      <c r="I14" s="2"/>
      <c r="J14" s="2">
        <v>57</v>
      </c>
      <c r="K14" s="22">
        <f t="shared" si="0"/>
        <v>0</v>
      </c>
      <c r="L14" s="14" t="str">
        <f>IFERROR(VLOOKUP(A14,'Collection Rate'!B:C,2,0),"")</f>
        <v>Sundries</v>
      </c>
    </row>
    <row r="15" spans="1:12" hidden="1" x14ac:dyDescent="0.25">
      <c r="A15" s="1" t="s">
        <v>34</v>
      </c>
      <c r="B15" s="2">
        <v>79078.460000000006</v>
      </c>
      <c r="D15" s="2"/>
      <c r="E15" s="2"/>
      <c r="F15" s="2"/>
      <c r="H15" s="2"/>
      <c r="I15" s="2">
        <v>328.84</v>
      </c>
      <c r="J15" s="2">
        <v>79407.3</v>
      </c>
      <c r="K15" s="22">
        <f t="shared" si="0"/>
        <v>328.84</v>
      </c>
      <c r="L15" s="14" t="str">
        <f>IFERROR(VLOOKUP(A15,'Collection Rate'!B:C,2,0),"")</f>
        <v xml:space="preserve">Rates  </v>
      </c>
    </row>
    <row r="16" spans="1:12" hidden="1" x14ac:dyDescent="0.25">
      <c r="A16" s="1" t="s">
        <v>35</v>
      </c>
      <c r="B16" s="2">
        <v>155.26</v>
      </c>
      <c r="D16" s="2"/>
      <c r="E16" s="2"/>
      <c r="F16" s="2"/>
      <c r="H16" s="2"/>
      <c r="I16" s="2">
        <v>0.95</v>
      </c>
      <c r="J16" s="2">
        <v>156.21</v>
      </c>
      <c r="K16" s="22">
        <f t="shared" si="0"/>
        <v>0.95</v>
      </c>
      <c r="L16" s="14" t="str">
        <f>IFERROR(VLOOKUP(A16,'Collection Rate'!B:C,2,0),"")</f>
        <v xml:space="preserve">Rates  </v>
      </c>
    </row>
    <row r="17" spans="1:12" hidden="1" x14ac:dyDescent="0.25">
      <c r="A17" s="1" t="s">
        <v>36</v>
      </c>
      <c r="B17" s="2">
        <v>149326.26999999999</v>
      </c>
      <c r="D17" s="2"/>
      <c r="E17" s="2"/>
      <c r="F17" s="2"/>
      <c r="H17" s="2"/>
      <c r="I17" s="2">
        <v>887.4</v>
      </c>
      <c r="J17" s="2">
        <v>150213.67000000001</v>
      </c>
      <c r="K17" s="22">
        <f t="shared" si="0"/>
        <v>887.4</v>
      </c>
      <c r="L17" s="14" t="str">
        <f>IFERROR(VLOOKUP(A17,'Collection Rate'!B:C,2,0),"")</f>
        <v xml:space="preserve">Rates  </v>
      </c>
    </row>
    <row r="18" spans="1:12" hidden="1" x14ac:dyDescent="0.25">
      <c r="A18" s="1" t="s">
        <v>37</v>
      </c>
      <c r="B18" s="2">
        <v>422420.25</v>
      </c>
      <c r="D18" s="2"/>
      <c r="E18" s="2"/>
      <c r="F18" s="2"/>
      <c r="H18" s="2"/>
      <c r="I18" s="2">
        <v>2623.72</v>
      </c>
      <c r="J18" s="2">
        <v>425043.97</v>
      </c>
      <c r="K18" s="22">
        <f t="shared" si="0"/>
        <v>2623.72</v>
      </c>
      <c r="L18" s="14" t="str">
        <f>IFERROR(VLOOKUP(A18,'Collection Rate'!B:C,2,0),"")</f>
        <v xml:space="preserve">Rates  </v>
      </c>
    </row>
    <row r="19" spans="1:12" hidden="1" x14ac:dyDescent="0.25">
      <c r="A19" s="1" t="s">
        <v>38</v>
      </c>
      <c r="B19" s="2">
        <v>1587070.87</v>
      </c>
      <c r="D19" s="2"/>
      <c r="E19" s="2">
        <v>-904.78</v>
      </c>
      <c r="F19" s="2"/>
      <c r="G19" s="2">
        <v>-712.25</v>
      </c>
      <c r="H19" s="2"/>
      <c r="I19" s="2">
        <v>9207.49</v>
      </c>
      <c r="J19" s="2">
        <v>1594661.33</v>
      </c>
      <c r="K19" s="22">
        <f t="shared" si="0"/>
        <v>7590.46</v>
      </c>
      <c r="L19" s="14" t="str">
        <f>IFERROR(VLOOKUP(A19,'Collection Rate'!B:C,2,0),"")</f>
        <v xml:space="preserve">Rates  </v>
      </c>
    </row>
    <row r="20" spans="1:12" hidden="1" x14ac:dyDescent="0.25">
      <c r="A20" s="1" t="s">
        <v>39</v>
      </c>
      <c r="B20" s="2">
        <v>196487.21</v>
      </c>
      <c r="C20" s="2">
        <v>65016.9</v>
      </c>
      <c r="D20" s="2">
        <v>-22252.07</v>
      </c>
      <c r="E20" s="2">
        <v>-965.25</v>
      </c>
      <c r="F20" s="2"/>
      <c r="H20" s="2"/>
      <c r="I20" s="2">
        <v>1106.4100000000001</v>
      </c>
      <c r="J20" s="2">
        <v>239393.2</v>
      </c>
      <c r="K20" s="22">
        <f t="shared" si="0"/>
        <v>65158.060000000005</v>
      </c>
      <c r="L20" s="14" t="str">
        <f>IFERROR(VLOOKUP(A20,'Collection Rate'!B:C,2,0),"")</f>
        <v xml:space="preserve">Rates  </v>
      </c>
    </row>
    <row r="21" spans="1:12" hidden="1" x14ac:dyDescent="0.25">
      <c r="A21" s="1" t="s">
        <v>40</v>
      </c>
      <c r="B21" s="2">
        <v>876310.34</v>
      </c>
      <c r="C21" s="2">
        <v>352059</v>
      </c>
      <c r="D21" s="2">
        <v>-204825.54</v>
      </c>
      <c r="E21" s="2">
        <v>-21833.54</v>
      </c>
      <c r="F21" s="2"/>
      <c r="G21" s="2">
        <v>-15046.42</v>
      </c>
      <c r="H21" s="2"/>
      <c r="I21" s="2">
        <v>4121.9799999999996</v>
      </c>
      <c r="J21" s="2">
        <v>990785.82</v>
      </c>
      <c r="K21" s="22">
        <f t="shared" si="0"/>
        <v>319301.02</v>
      </c>
      <c r="L21" s="14" t="str">
        <f>IFERROR(VLOOKUP(A21,'Collection Rate'!B:C,2,0),"")</f>
        <v xml:space="preserve">Rates  </v>
      </c>
    </row>
    <row r="22" spans="1:12" hidden="1" x14ac:dyDescent="0.25">
      <c r="A22" s="1" t="s">
        <v>41</v>
      </c>
      <c r="B22" s="2">
        <v>74734.33</v>
      </c>
      <c r="C22" s="2">
        <v>138462</v>
      </c>
      <c r="D22" s="2">
        <v>-73765.240000000005</v>
      </c>
      <c r="E22" s="2">
        <v>-42.41</v>
      </c>
      <c r="F22" s="2"/>
      <c r="H22" s="2"/>
      <c r="I22" s="2">
        <v>6.46</v>
      </c>
      <c r="J22" s="2">
        <v>139395.14000000001</v>
      </c>
      <c r="K22" s="22">
        <f t="shared" si="0"/>
        <v>138426.04999999999</v>
      </c>
      <c r="L22" s="14" t="str">
        <f>IFERROR(VLOOKUP(A22,'Collection Rate'!B:C,2,0),"")</f>
        <v xml:space="preserve">Rates  </v>
      </c>
    </row>
    <row r="23" spans="1:12" hidden="1" x14ac:dyDescent="0.25">
      <c r="A23" s="1" t="s">
        <v>42</v>
      </c>
      <c r="B23" s="2">
        <v>7.32</v>
      </c>
      <c r="D23" s="2">
        <v>-0.35</v>
      </c>
      <c r="E23" s="2"/>
      <c r="F23" s="2"/>
      <c r="H23" s="2"/>
      <c r="I23" s="2"/>
      <c r="J23" s="2">
        <v>6.97</v>
      </c>
      <c r="K23" s="22">
        <f t="shared" si="0"/>
        <v>0</v>
      </c>
      <c r="L23" s="14" t="str">
        <f>IFERROR(VLOOKUP(A23,'Collection Rate'!B:C,2,0),"")</f>
        <v xml:space="preserve">Rates  </v>
      </c>
    </row>
    <row r="24" spans="1:12" hidden="1" x14ac:dyDescent="0.25">
      <c r="A24" s="1" t="s">
        <v>43</v>
      </c>
      <c r="B24" s="2">
        <v>1631140.65</v>
      </c>
      <c r="C24" s="2">
        <v>359158.55</v>
      </c>
      <c r="D24" s="2">
        <v>-43200.42</v>
      </c>
      <c r="E24" s="2">
        <v>-37780.31</v>
      </c>
      <c r="F24" s="2"/>
      <c r="G24" s="2">
        <v>2522.4</v>
      </c>
      <c r="H24" s="2"/>
      <c r="I24" s="2">
        <v>9510.49</v>
      </c>
      <c r="J24" s="2">
        <v>1921351.36</v>
      </c>
      <c r="K24" s="22">
        <f t="shared" si="0"/>
        <v>333411.13</v>
      </c>
      <c r="L24" s="14" t="str">
        <f>IFERROR(VLOOKUP(A24,'Collection Rate'!B:C,2,0),"")</f>
        <v xml:space="preserve">Rates  </v>
      </c>
    </row>
    <row r="25" spans="1:12" hidden="1" x14ac:dyDescent="0.25">
      <c r="A25" s="1" t="s">
        <v>44</v>
      </c>
      <c r="B25" s="2">
        <v>1684.75</v>
      </c>
      <c r="D25" s="2"/>
      <c r="E25" s="2"/>
      <c r="F25" s="2"/>
      <c r="H25" s="2"/>
      <c r="I25" s="2">
        <v>10.46</v>
      </c>
      <c r="J25" s="2">
        <v>1695.21</v>
      </c>
      <c r="K25" s="22">
        <f t="shared" si="0"/>
        <v>10.46</v>
      </c>
      <c r="L25" s="14" t="str">
        <f>IFERROR(VLOOKUP(A25,'Collection Rate'!B:C,2,0),"")</f>
        <v xml:space="preserve">Rates  </v>
      </c>
    </row>
    <row r="26" spans="1:12" hidden="1" x14ac:dyDescent="0.25">
      <c r="A26" s="1" t="s">
        <v>45</v>
      </c>
      <c r="B26" s="2">
        <v>5.78</v>
      </c>
      <c r="D26" s="2"/>
      <c r="E26" s="2"/>
      <c r="F26" s="2"/>
      <c r="H26" s="2"/>
      <c r="I26" s="2"/>
      <c r="J26" s="2">
        <v>5.78</v>
      </c>
      <c r="K26" s="22">
        <f t="shared" si="0"/>
        <v>0</v>
      </c>
      <c r="L26" s="14" t="str">
        <f>IFERROR(VLOOKUP(A26,'Collection Rate'!B:C,2,0),"")</f>
        <v xml:space="preserve">Rates  </v>
      </c>
    </row>
    <row r="27" spans="1:12" hidden="1" x14ac:dyDescent="0.25">
      <c r="A27" s="1" t="s">
        <v>46</v>
      </c>
      <c r="B27" s="2">
        <v>2711.55</v>
      </c>
      <c r="C27" s="2">
        <v>2856.02</v>
      </c>
      <c r="D27" s="2">
        <v>-2711.5</v>
      </c>
      <c r="E27" s="2"/>
      <c r="F27" s="2"/>
      <c r="H27" s="2"/>
      <c r="I27" s="2"/>
      <c r="J27" s="2">
        <v>2856.07</v>
      </c>
      <c r="K27" s="22">
        <f t="shared" si="0"/>
        <v>2856.02</v>
      </c>
      <c r="L27" s="14" t="str">
        <f>IFERROR(VLOOKUP(A27,'Collection Rate'!B:C,2,0),"")</f>
        <v xml:space="preserve">Rates  </v>
      </c>
    </row>
    <row r="28" spans="1:12" hidden="1" x14ac:dyDescent="0.25">
      <c r="A28" s="1" t="s">
        <v>47</v>
      </c>
      <c r="B28" s="2">
        <v>696.8</v>
      </c>
      <c r="D28" s="2"/>
      <c r="E28" s="2"/>
      <c r="F28" s="2"/>
      <c r="G28" s="2">
        <v>-8.82</v>
      </c>
      <c r="H28" s="2"/>
      <c r="I28" s="2">
        <v>4.59</v>
      </c>
      <c r="J28" s="2">
        <v>692.57</v>
      </c>
      <c r="K28" s="22">
        <f t="shared" si="0"/>
        <v>-4.2300000000000004</v>
      </c>
      <c r="L28" s="14" t="str">
        <f>IFERROR(VLOOKUP(A28,'Collection Rate'!B:C,2,0),"")</f>
        <v xml:space="preserve">Rates  </v>
      </c>
    </row>
    <row r="29" spans="1:12" hidden="1" x14ac:dyDescent="0.25">
      <c r="A29" s="1" t="s">
        <v>48</v>
      </c>
      <c r="B29" s="2">
        <v>1051487.8799999999</v>
      </c>
      <c r="C29" s="2">
        <v>863502.71</v>
      </c>
      <c r="D29" s="2">
        <v>-52775.47</v>
      </c>
      <c r="E29" s="2">
        <v>-61290.9</v>
      </c>
      <c r="F29" s="2"/>
      <c r="G29" s="2">
        <v>144.65</v>
      </c>
      <c r="H29" s="2"/>
      <c r="I29" s="2">
        <v>6082.6</v>
      </c>
      <c r="J29" s="2">
        <v>1807151.47</v>
      </c>
      <c r="K29" s="22">
        <f t="shared" si="0"/>
        <v>808439.05999999994</v>
      </c>
      <c r="L29" s="14" t="str">
        <f>IFERROR(VLOOKUP(A29,'Collection Rate'!B:C,2,0),"")</f>
        <v xml:space="preserve">Rates  </v>
      </c>
    </row>
    <row r="30" spans="1:12" hidden="1" x14ac:dyDescent="0.25">
      <c r="A30" s="1" t="s">
        <v>49</v>
      </c>
      <c r="B30" s="2">
        <v>86342.03</v>
      </c>
      <c r="C30" s="2">
        <v>397664.27</v>
      </c>
      <c r="D30" s="2">
        <v>-1492.43</v>
      </c>
      <c r="E30" s="2">
        <v>-37091.879999999997</v>
      </c>
      <c r="F30" s="2"/>
      <c r="H30" s="2"/>
      <c r="I30" s="2">
        <v>562.19000000000005</v>
      </c>
      <c r="J30" s="2">
        <v>445984.18</v>
      </c>
      <c r="K30" s="22">
        <f t="shared" si="0"/>
        <v>361134.58</v>
      </c>
      <c r="L30" s="14" t="str">
        <f>IFERROR(VLOOKUP(A30,'Collection Rate'!B:C,2,0),"")</f>
        <v xml:space="preserve">Rates  </v>
      </c>
    </row>
    <row r="31" spans="1:12" hidden="1" x14ac:dyDescent="0.25">
      <c r="A31" s="1" t="s">
        <v>50</v>
      </c>
      <c r="B31" s="2">
        <v>7412808.1699999999</v>
      </c>
      <c r="D31" s="2">
        <v>-477109.12</v>
      </c>
      <c r="E31" s="2">
        <v>-4202.8500000000004</v>
      </c>
      <c r="F31" s="2">
        <v>-42.13</v>
      </c>
      <c r="G31" s="2">
        <v>-3875.03</v>
      </c>
      <c r="H31" s="2"/>
      <c r="I31" s="2">
        <v>41592.080000000002</v>
      </c>
      <c r="J31" s="2">
        <v>6969171.1200000001</v>
      </c>
      <c r="K31" s="22">
        <f t="shared" si="0"/>
        <v>33472.07</v>
      </c>
      <c r="L31" s="14" t="str">
        <f>IFERROR(VLOOKUP(A31,'Collection Rate'!B:C,2,0),"")</f>
        <v xml:space="preserve">Rates  </v>
      </c>
    </row>
    <row r="32" spans="1:12" hidden="1" x14ac:dyDescent="0.25">
      <c r="A32" s="1" t="s">
        <v>51</v>
      </c>
      <c r="B32" s="2">
        <v>18275.39</v>
      </c>
      <c r="D32" s="2">
        <v>-42.53</v>
      </c>
      <c r="E32" s="2"/>
      <c r="F32" s="2"/>
      <c r="H32" s="2"/>
      <c r="I32" s="2"/>
      <c r="J32" s="2">
        <v>18232.86</v>
      </c>
      <c r="K32" s="22">
        <f t="shared" si="0"/>
        <v>0</v>
      </c>
      <c r="L32" s="14" t="str">
        <f>IFERROR(VLOOKUP(A32,'Collection Rate'!B:C,2,0),"")</f>
        <v xml:space="preserve">Rates  </v>
      </c>
    </row>
    <row r="33" spans="1:12" hidden="1" x14ac:dyDescent="0.25">
      <c r="A33" s="1" t="s">
        <v>52</v>
      </c>
      <c r="B33" s="2"/>
      <c r="D33" s="2"/>
      <c r="E33" s="2"/>
      <c r="F33" s="2"/>
      <c r="H33" s="2"/>
      <c r="I33" s="2"/>
      <c r="J33" s="2"/>
      <c r="K33" s="22">
        <f t="shared" si="0"/>
        <v>0</v>
      </c>
      <c r="L33" s="14" t="str">
        <f>IFERROR(VLOOKUP(A33,'Collection Rate'!B:C,2,0),"")</f>
        <v xml:space="preserve">Rates  </v>
      </c>
    </row>
    <row r="34" spans="1:12" hidden="1" x14ac:dyDescent="0.25">
      <c r="A34" s="1" t="s">
        <v>53</v>
      </c>
      <c r="B34" s="2">
        <v>185436.27</v>
      </c>
      <c r="D34" s="2"/>
      <c r="E34" s="2">
        <v>-18.36</v>
      </c>
      <c r="F34" s="2"/>
      <c r="H34" s="2"/>
      <c r="I34" s="2">
        <v>1148.76</v>
      </c>
      <c r="J34" s="2">
        <v>186566.67</v>
      </c>
      <c r="K34" s="22">
        <f t="shared" si="0"/>
        <v>1130.4000000000001</v>
      </c>
      <c r="L34" s="14" t="str">
        <f>IFERROR(VLOOKUP(A34,'Collection Rate'!B:C,2,0),"")</f>
        <v xml:space="preserve">Rates  </v>
      </c>
    </row>
    <row r="35" spans="1:12" hidden="1" x14ac:dyDescent="0.25">
      <c r="A35" s="1" t="s">
        <v>54</v>
      </c>
      <c r="B35" s="2">
        <v>5.7</v>
      </c>
      <c r="D35" s="2"/>
      <c r="E35" s="2"/>
      <c r="F35" s="2"/>
      <c r="H35" s="2"/>
      <c r="I35" s="2">
        <v>0.04</v>
      </c>
      <c r="J35" s="2">
        <v>5.74</v>
      </c>
      <c r="K35" s="22">
        <f t="shared" si="0"/>
        <v>0.04</v>
      </c>
      <c r="L35" s="14" t="str">
        <f>IFERROR(VLOOKUP(A35,'Collection Rate'!B:C,2,0),"")</f>
        <v xml:space="preserve">Rates  </v>
      </c>
    </row>
    <row r="36" spans="1:12" hidden="1" x14ac:dyDescent="0.25">
      <c r="A36" s="1" t="s">
        <v>55</v>
      </c>
      <c r="B36" s="2">
        <v>570074.34</v>
      </c>
      <c r="D36" s="2"/>
      <c r="E36" s="2">
        <v>-1395.54</v>
      </c>
      <c r="F36" s="2"/>
      <c r="H36" s="2"/>
      <c r="I36" s="2">
        <v>3115.55</v>
      </c>
      <c r="J36" s="2">
        <v>571794.35</v>
      </c>
      <c r="K36" s="22">
        <f t="shared" si="0"/>
        <v>1720.0100000000002</v>
      </c>
      <c r="L36" s="14" t="str">
        <f>IFERROR(VLOOKUP(A36,'Collection Rate'!B:C,2,0),"")</f>
        <v xml:space="preserve">Rates  </v>
      </c>
    </row>
    <row r="37" spans="1:12" hidden="1" x14ac:dyDescent="0.25">
      <c r="A37" s="1" t="s">
        <v>56</v>
      </c>
      <c r="B37" s="2"/>
      <c r="D37" s="2"/>
      <c r="E37" s="2"/>
      <c r="F37" s="2"/>
      <c r="H37" s="2"/>
      <c r="I37" s="2"/>
      <c r="J37" s="2"/>
      <c r="K37" s="22">
        <f t="shared" si="0"/>
        <v>0</v>
      </c>
      <c r="L37" s="14" t="str">
        <f>IFERROR(VLOOKUP(A37,'Collection Rate'!B:C,2,0),"")</f>
        <v xml:space="preserve">Rates  </v>
      </c>
    </row>
    <row r="38" spans="1:12" hidden="1" x14ac:dyDescent="0.25">
      <c r="A38" s="1" t="s">
        <v>57</v>
      </c>
      <c r="B38" s="2">
        <v>13233438.699999999</v>
      </c>
      <c r="D38" s="2">
        <v>-30568.57</v>
      </c>
      <c r="E38" s="2">
        <v>-4763.21</v>
      </c>
      <c r="F38" s="2"/>
      <c r="H38" s="2"/>
      <c r="I38" s="2">
        <v>36222.120000000003</v>
      </c>
      <c r="J38" s="2">
        <v>13234329.039999999</v>
      </c>
      <c r="K38" s="22">
        <f t="shared" si="0"/>
        <v>31458.910000000003</v>
      </c>
      <c r="L38" s="14" t="str">
        <f>IFERROR(VLOOKUP(A38,'Collection Rate'!B:C,2,0),"")</f>
        <v xml:space="preserve">Rates  </v>
      </c>
    </row>
    <row r="39" spans="1:12" hidden="1" x14ac:dyDescent="0.25">
      <c r="A39" s="1" t="s">
        <v>58</v>
      </c>
      <c r="B39" s="2">
        <v>21737641.84</v>
      </c>
      <c r="C39" s="2">
        <v>868193.61</v>
      </c>
      <c r="D39" s="2">
        <v>-289683.84000000003</v>
      </c>
      <c r="E39" s="2">
        <v>-47976.88</v>
      </c>
      <c r="F39" s="2"/>
      <c r="G39" s="2">
        <v>-8406.27</v>
      </c>
      <c r="H39" s="2">
        <v>272.39</v>
      </c>
      <c r="I39" s="2">
        <v>105382.76</v>
      </c>
      <c r="J39" s="2">
        <v>22365423.609999999</v>
      </c>
      <c r="K39" s="22">
        <f t="shared" si="0"/>
        <v>917465.61</v>
      </c>
      <c r="L39" s="14" t="str">
        <f>IFERROR(VLOOKUP(A39,'Collection Rate'!B:C,2,0),"")</f>
        <v>Refuse</v>
      </c>
    </row>
    <row r="40" spans="1:12" hidden="1" x14ac:dyDescent="0.25">
      <c r="A40" s="1" t="s">
        <v>59</v>
      </c>
      <c r="B40" s="2">
        <v>40227.660000000003</v>
      </c>
      <c r="D40" s="2"/>
      <c r="E40" s="2"/>
      <c r="F40" s="2"/>
      <c r="H40" s="2"/>
      <c r="I40" s="2">
        <v>157.65</v>
      </c>
      <c r="J40" s="2">
        <v>40385.31</v>
      </c>
      <c r="K40" s="22">
        <f t="shared" si="0"/>
        <v>157.65</v>
      </c>
      <c r="L40" s="14" t="str">
        <f>IFERROR(VLOOKUP(A40,'Collection Rate'!B:C,2,0),"")</f>
        <v>Sundries</v>
      </c>
    </row>
    <row r="41" spans="1:12" hidden="1" x14ac:dyDescent="0.25">
      <c r="A41" s="1" t="s">
        <v>60</v>
      </c>
      <c r="B41" s="2">
        <v>13936.71</v>
      </c>
      <c r="C41" s="2">
        <v>5804.67</v>
      </c>
      <c r="D41" s="2">
        <v>-4159.04</v>
      </c>
      <c r="E41" s="2"/>
      <c r="F41" s="2"/>
      <c r="H41" s="2"/>
      <c r="I41" s="2">
        <v>43.05</v>
      </c>
      <c r="J41" s="2">
        <v>15625.39</v>
      </c>
      <c r="K41" s="22">
        <f t="shared" si="0"/>
        <v>5847.72</v>
      </c>
      <c r="L41" s="14" t="str">
        <f>IFERROR(VLOOKUP(A41,'Collection Rate'!B:C,2,0),"")</f>
        <v>Water</v>
      </c>
    </row>
    <row r="42" spans="1:12" hidden="1" x14ac:dyDescent="0.25">
      <c r="A42" s="1" t="s">
        <v>61</v>
      </c>
      <c r="B42" s="2">
        <v>20319529.050000001</v>
      </c>
      <c r="C42" s="2">
        <v>840089.83</v>
      </c>
      <c r="D42" s="2">
        <v>-322120.42</v>
      </c>
      <c r="E42" s="2">
        <v>-36323.910000000003</v>
      </c>
      <c r="F42" s="2">
        <v>-161.91999999999999</v>
      </c>
      <c r="G42" s="2">
        <v>-17640.72</v>
      </c>
      <c r="H42" s="2">
        <v>262.06</v>
      </c>
      <c r="I42" s="2">
        <v>97710.31</v>
      </c>
      <c r="J42" s="2">
        <v>20881344.280000001</v>
      </c>
      <c r="K42" s="22">
        <f t="shared" si="0"/>
        <v>883935.64999999991</v>
      </c>
      <c r="L42" s="14" t="str">
        <f>IFERROR(VLOOKUP(A42,'Collection Rate'!B:C,2,0),"")</f>
        <v>Sewerage</v>
      </c>
    </row>
    <row r="43" spans="1:12" hidden="1" x14ac:dyDescent="0.25">
      <c r="A43" s="1" t="s">
        <v>62</v>
      </c>
      <c r="B43" s="2">
        <v>1238381.32</v>
      </c>
      <c r="C43" s="2">
        <v>64761.37</v>
      </c>
      <c r="D43" s="2">
        <v>-33232.18</v>
      </c>
      <c r="E43" s="2">
        <v>-24656.47</v>
      </c>
      <c r="F43" s="2">
        <v>-9661.6200000000008</v>
      </c>
      <c r="G43" s="2">
        <v>27209.94</v>
      </c>
      <c r="H43" s="2"/>
      <c r="I43" s="2">
        <v>-16792.400000000001</v>
      </c>
      <c r="J43" s="2">
        <v>1246009.96</v>
      </c>
      <c r="K43" s="22">
        <f t="shared" si="0"/>
        <v>40860.82</v>
      </c>
      <c r="L43" s="14" t="str">
        <f>IFERROR(VLOOKUP(A43,'Collection Rate'!B:C,2,0),"")</f>
        <v>Sundries</v>
      </c>
    </row>
    <row r="44" spans="1:12" hidden="1" x14ac:dyDescent="0.25">
      <c r="A44" s="1" t="s">
        <v>63</v>
      </c>
      <c r="B44" s="2">
        <v>31832693.129999999</v>
      </c>
      <c r="C44" s="2">
        <v>2124989.29</v>
      </c>
      <c r="D44" s="2">
        <v>-1004802</v>
      </c>
      <c r="E44" s="2">
        <v>-52315.24</v>
      </c>
      <c r="F44" s="2">
        <v>-451670.99</v>
      </c>
      <c r="G44" s="2">
        <v>-51914.63</v>
      </c>
      <c r="H44" s="2">
        <v>117.43</v>
      </c>
      <c r="I44" s="2">
        <v>155086.41</v>
      </c>
      <c r="J44" s="2">
        <v>32552183.399999999</v>
      </c>
      <c r="K44" s="22">
        <f t="shared" si="0"/>
        <v>1724292.27</v>
      </c>
      <c r="L44" s="14" t="str">
        <f>IFERROR(VLOOKUP(A44,'Collection Rate'!B:C,2,0),"")</f>
        <v>Water</v>
      </c>
    </row>
    <row r="45" spans="1:12" x14ac:dyDescent="0.25">
      <c r="A45" s="1" t="s">
        <v>64</v>
      </c>
      <c r="B45" s="2">
        <v>-2155615.89</v>
      </c>
      <c r="D45" s="2">
        <v>-347790.21</v>
      </c>
      <c r="E45" s="2">
        <v>498021.65</v>
      </c>
      <c r="F45" s="2"/>
      <c r="G45" s="2">
        <v>-31042.38</v>
      </c>
      <c r="H45" s="2">
        <v>10333.44</v>
      </c>
      <c r="I45" s="2"/>
      <c r="J45" s="2">
        <v>-2026093.39</v>
      </c>
      <c r="K45" s="22">
        <f t="shared" si="0"/>
        <v>477312.71</v>
      </c>
      <c r="L45" s="14" t="str">
        <f>IFERROR(VLOOKUP(A45,'Collection Rate'!B:C,2,0),"")</f>
        <v>Payments In advance</v>
      </c>
    </row>
    <row r="46" spans="1:12" hidden="1" x14ac:dyDescent="0.25">
      <c r="A46" s="1" t="s">
        <v>65</v>
      </c>
      <c r="B46" s="2" t="s">
        <v>66</v>
      </c>
      <c r="C46" s="2" t="s">
        <v>67</v>
      </c>
      <c r="D46" s="2" t="s">
        <v>68</v>
      </c>
      <c r="E46" s="2" t="s">
        <v>67</v>
      </c>
      <c r="F46" s="2" t="s">
        <v>67</v>
      </c>
      <c r="G46" s="2" t="s">
        <v>67</v>
      </c>
      <c r="H46" s="2" t="s">
        <v>69</v>
      </c>
      <c r="I46" s="2" t="s">
        <v>68</v>
      </c>
      <c r="J46" s="2" t="s">
        <v>66</v>
      </c>
      <c r="K46" s="22" t="e">
        <f t="shared" si="0"/>
        <v>#VALUE!</v>
      </c>
      <c r="L46" s="14" t="str">
        <f>IFERROR(VLOOKUP(A46,'Collection Rate'!B:C,2,0),"")</f>
        <v/>
      </c>
    </row>
    <row r="47" spans="1:12" hidden="1" x14ac:dyDescent="0.25">
      <c r="A47" s="1">
        <v>202107</v>
      </c>
      <c r="B47" s="25">
        <v>108033870.34999999</v>
      </c>
      <c r="C47" s="25">
        <v>10594968.619999999</v>
      </c>
      <c r="D47" s="25">
        <v>-6192505.7300000004</v>
      </c>
      <c r="E47" s="25"/>
      <c r="F47" s="25">
        <v>-462463.3</v>
      </c>
      <c r="G47" s="25">
        <v>-150942.25</v>
      </c>
      <c r="H47" s="25">
        <v>10985.32</v>
      </c>
      <c r="I47" s="25">
        <v>477593.68</v>
      </c>
      <c r="J47" s="25">
        <v>112311506.69</v>
      </c>
      <c r="K47" s="22">
        <f t="shared" si="0"/>
        <v>10470142.069999998</v>
      </c>
      <c r="L47" s="14" t="str">
        <f>IFERROR(VLOOKUP(A47,'Collection Rate'!B:C,2,0),"")</f>
        <v/>
      </c>
    </row>
    <row r="48" spans="1:12" hidden="1" x14ac:dyDescent="0.25">
      <c r="A48" s="1" t="s">
        <v>31</v>
      </c>
      <c r="B48" s="2">
        <v>7825076.1600000001</v>
      </c>
      <c r="C48" s="2">
        <v>5291440.28</v>
      </c>
      <c r="D48" s="2">
        <v>-4279892.43</v>
      </c>
      <c r="E48" s="2">
        <v>-550999.42000000004</v>
      </c>
      <c r="F48" s="2">
        <v>-1654941.15</v>
      </c>
      <c r="G48" s="2">
        <v>-90913.79</v>
      </c>
      <c r="H48" s="2"/>
      <c r="I48" s="2">
        <v>8335.85</v>
      </c>
      <c r="J48" s="2">
        <v>6548105.5</v>
      </c>
      <c r="K48" s="22">
        <f t="shared" si="0"/>
        <v>3002921.7700000005</v>
      </c>
      <c r="L48" s="14" t="str">
        <f>IFERROR(VLOOKUP(A48,'Collection Rate'!B:C,2,0),"")</f>
        <v>Electricity</v>
      </c>
    </row>
    <row r="49" spans="1:12" hidden="1" x14ac:dyDescent="0.25">
      <c r="A49" s="1" t="s">
        <v>32</v>
      </c>
      <c r="B49" s="2">
        <v>632594.93999999994</v>
      </c>
      <c r="D49" s="2">
        <v>-1875.61</v>
      </c>
      <c r="E49" s="2">
        <v>-509.6</v>
      </c>
      <c r="F49" s="2">
        <v>-31277.26</v>
      </c>
      <c r="G49" s="2">
        <v>-334.22</v>
      </c>
      <c r="H49" s="2"/>
      <c r="I49" s="2">
        <v>3264.79</v>
      </c>
      <c r="J49" s="2">
        <v>601863.04</v>
      </c>
      <c r="K49" s="22">
        <f t="shared" si="0"/>
        <v>-28856.289999999997</v>
      </c>
      <c r="L49" s="14" t="str">
        <f>IFERROR(VLOOKUP(A49,'Collection Rate'!B:C,2,0),"")</f>
        <v>Sundries</v>
      </c>
    </row>
    <row r="50" spans="1:12" hidden="1" x14ac:dyDescent="0.25">
      <c r="A50" s="1" t="s">
        <v>33</v>
      </c>
      <c r="B50" s="2">
        <v>57</v>
      </c>
      <c r="D50" s="2"/>
      <c r="E50" s="2"/>
      <c r="F50" s="2"/>
      <c r="H50" s="2"/>
      <c r="I50" s="2"/>
      <c r="J50" s="2">
        <v>57</v>
      </c>
      <c r="K50" s="22">
        <f t="shared" si="0"/>
        <v>0</v>
      </c>
      <c r="L50" s="14" t="str">
        <f>IFERROR(VLOOKUP(A50,'Collection Rate'!B:C,2,0),"")</f>
        <v>Sundries</v>
      </c>
    </row>
    <row r="51" spans="1:12" hidden="1" x14ac:dyDescent="0.25">
      <c r="A51" s="1" t="s">
        <v>34</v>
      </c>
      <c r="B51" s="2">
        <v>79407.3</v>
      </c>
      <c r="D51" s="2"/>
      <c r="E51" s="2"/>
      <c r="F51" s="2">
        <v>-79407.3</v>
      </c>
      <c r="H51" s="2"/>
      <c r="I51" s="2"/>
      <c r="J51" s="2"/>
      <c r="K51" s="22">
        <f t="shared" si="0"/>
        <v>-79407.3</v>
      </c>
      <c r="L51" s="14" t="str">
        <f>IFERROR(VLOOKUP(A51,'Collection Rate'!B:C,2,0),"")</f>
        <v xml:space="preserve">Rates  </v>
      </c>
    </row>
    <row r="52" spans="1:12" hidden="1" x14ac:dyDescent="0.25">
      <c r="A52" s="1" t="s">
        <v>35</v>
      </c>
      <c r="B52" s="2">
        <v>156.21</v>
      </c>
      <c r="D52" s="2"/>
      <c r="E52" s="2"/>
      <c r="F52" s="2"/>
      <c r="H52" s="2"/>
      <c r="I52" s="2">
        <v>0.95</v>
      </c>
      <c r="J52" s="2">
        <v>157.16</v>
      </c>
      <c r="K52" s="22">
        <f t="shared" si="0"/>
        <v>0.95</v>
      </c>
      <c r="L52" s="14" t="str">
        <f>IFERROR(VLOOKUP(A52,'Collection Rate'!B:C,2,0),"")</f>
        <v xml:space="preserve">Rates  </v>
      </c>
    </row>
    <row r="53" spans="1:12" hidden="1" x14ac:dyDescent="0.25">
      <c r="A53" s="1" t="s">
        <v>36</v>
      </c>
      <c r="B53" s="2">
        <v>150213.67000000001</v>
      </c>
      <c r="D53" s="2"/>
      <c r="E53" s="2"/>
      <c r="F53" s="2">
        <v>-11448.99</v>
      </c>
      <c r="H53" s="2"/>
      <c r="I53" s="2">
        <v>887.4</v>
      </c>
      <c r="J53" s="2">
        <v>139652.07999999999</v>
      </c>
      <c r="K53" s="22">
        <f t="shared" si="0"/>
        <v>-10561.59</v>
      </c>
      <c r="L53" s="14" t="str">
        <f>IFERROR(VLOOKUP(A53,'Collection Rate'!B:C,2,0),"")</f>
        <v xml:space="preserve">Rates  </v>
      </c>
    </row>
    <row r="54" spans="1:12" hidden="1" x14ac:dyDescent="0.25">
      <c r="A54" s="1" t="s">
        <v>37</v>
      </c>
      <c r="B54" s="2">
        <v>425043.97</v>
      </c>
      <c r="D54" s="2"/>
      <c r="E54" s="2"/>
      <c r="F54" s="2"/>
      <c r="H54" s="2"/>
      <c r="I54" s="2">
        <v>2623.72</v>
      </c>
      <c r="J54" s="2">
        <v>427667.69</v>
      </c>
      <c r="K54" s="22">
        <f t="shared" si="0"/>
        <v>2623.72</v>
      </c>
      <c r="L54" s="14" t="str">
        <f>IFERROR(VLOOKUP(A54,'Collection Rate'!B:C,2,0),"")</f>
        <v xml:space="preserve">Rates  </v>
      </c>
    </row>
    <row r="55" spans="1:12" hidden="1" x14ac:dyDescent="0.25">
      <c r="A55" s="1" t="s">
        <v>38</v>
      </c>
      <c r="B55" s="2">
        <v>1594661.33</v>
      </c>
      <c r="D55" s="2"/>
      <c r="E55" s="2"/>
      <c r="F55" s="2">
        <v>-15278.92</v>
      </c>
      <c r="G55" s="2">
        <v>32.67</v>
      </c>
      <c r="H55" s="2"/>
      <c r="I55" s="2">
        <v>9200.92</v>
      </c>
      <c r="J55" s="2">
        <v>1588616</v>
      </c>
      <c r="K55" s="22">
        <f t="shared" si="0"/>
        <v>-6045.33</v>
      </c>
      <c r="L55" s="14" t="str">
        <f>IFERROR(VLOOKUP(A55,'Collection Rate'!B:C,2,0),"")</f>
        <v xml:space="preserve">Rates  </v>
      </c>
    </row>
    <row r="56" spans="1:12" hidden="1" x14ac:dyDescent="0.25">
      <c r="A56" s="1" t="s">
        <v>39</v>
      </c>
      <c r="B56" s="2">
        <v>239393.2</v>
      </c>
      <c r="C56" s="2">
        <v>62189.4</v>
      </c>
      <c r="D56" s="2">
        <v>-30990.25</v>
      </c>
      <c r="E56" s="2">
        <v>-1029.74</v>
      </c>
      <c r="F56" s="2">
        <v>-2827.5</v>
      </c>
      <c r="H56" s="2"/>
      <c r="I56" s="2">
        <v>987.21</v>
      </c>
      <c r="J56" s="2">
        <v>267722.32</v>
      </c>
      <c r="K56" s="22">
        <f t="shared" si="0"/>
        <v>59319.37</v>
      </c>
      <c r="L56" s="14" t="str">
        <f>IFERROR(VLOOKUP(A56,'Collection Rate'!B:C,2,0),"")</f>
        <v xml:space="preserve">Rates  </v>
      </c>
    </row>
    <row r="57" spans="1:12" hidden="1" x14ac:dyDescent="0.25">
      <c r="A57" s="1" t="s">
        <v>40</v>
      </c>
      <c r="B57" s="2">
        <v>990785.82</v>
      </c>
      <c r="C57" s="2">
        <v>324774</v>
      </c>
      <c r="D57" s="2">
        <v>-222409.56</v>
      </c>
      <c r="E57" s="2">
        <v>-14543.19</v>
      </c>
      <c r="F57" s="2">
        <v>-26193.38</v>
      </c>
      <c r="G57" s="2">
        <v>-8.17</v>
      </c>
      <c r="H57" s="2"/>
      <c r="I57" s="2">
        <v>3832.5</v>
      </c>
      <c r="J57" s="2">
        <v>1056238.02</v>
      </c>
      <c r="K57" s="22">
        <f t="shared" si="0"/>
        <v>287861.76000000001</v>
      </c>
      <c r="L57" s="14" t="str">
        <f>IFERROR(VLOOKUP(A57,'Collection Rate'!B:C,2,0),"")</f>
        <v xml:space="preserve">Rates  </v>
      </c>
    </row>
    <row r="58" spans="1:12" hidden="1" x14ac:dyDescent="0.25">
      <c r="A58" s="1" t="s">
        <v>41</v>
      </c>
      <c r="B58" s="2">
        <v>139395.14000000001</v>
      </c>
      <c r="C58" s="2">
        <v>156057</v>
      </c>
      <c r="D58" s="2">
        <v>-137157.47</v>
      </c>
      <c r="E58" s="2">
        <v>-471.85</v>
      </c>
      <c r="F58" s="2"/>
      <c r="H58" s="2"/>
      <c r="I58" s="2"/>
      <c r="J58" s="2">
        <v>157822.82</v>
      </c>
      <c r="K58" s="22">
        <f t="shared" si="0"/>
        <v>155585.15</v>
      </c>
      <c r="L58" s="14" t="str">
        <f>IFERROR(VLOOKUP(A58,'Collection Rate'!B:C,2,0),"")</f>
        <v xml:space="preserve">Rates  </v>
      </c>
    </row>
    <row r="59" spans="1:12" hidden="1" x14ac:dyDescent="0.25">
      <c r="A59" s="1" t="s">
        <v>42</v>
      </c>
      <c r="B59" s="2">
        <v>6.97</v>
      </c>
      <c r="D59" s="2">
        <v>-0.21</v>
      </c>
      <c r="E59" s="2"/>
      <c r="F59" s="2"/>
      <c r="H59" s="2"/>
      <c r="I59" s="2"/>
      <c r="J59" s="2">
        <v>6.76</v>
      </c>
      <c r="K59" s="22">
        <f t="shared" si="0"/>
        <v>0</v>
      </c>
      <c r="L59" s="14" t="str">
        <f>IFERROR(VLOOKUP(A59,'Collection Rate'!B:C,2,0),"")</f>
        <v xml:space="preserve">Rates  </v>
      </c>
    </row>
    <row r="60" spans="1:12" hidden="1" x14ac:dyDescent="0.25">
      <c r="A60" s="1" t="s">
        <v>43</v>
      </c>
      <c r="B60" s="2">
        <v>1921351.36</v>
      </c>
      <c r="C60" s="2">
        <v>360772.49</v>
      </c>
      <c r="D60" s="2">
        <v>-94600.97</v>
      </c>
      <c r="E60" s="2">
        <v>-35279.19</v>
      </c>
      <c r="F60" s="2">
        <v>-3010.19</v>
      </c>
      <c r="G60" s="2">
        <v>-1076.94</v>
      </c>
      <c r="H60" s="2">
        <v>835.55</v>
      </c>
      <c r="I60" s="2">
        <v>9360.98</v>
      </c>
      <c r="J60" s="2">
        <v>2158353.09</v>
      </c>
      <c r="K60" s="22">
        <f t="shared" si="0"/>
        <v>331602.69999999995</v>
      </c>
      <c r="L60" s="14" t="str">
        <f>IFERROR(VLOOKUP(A60,'Collection Rate'!B:C,2,0),"")</f>
        <v xml:space="preserve">Rates  </v>
      </c>
    </row>
    <row r="61" spans="1:12" hidden="1" x14ac:dyDescent="0.25">
      <c r="A61" s="1" t="s">
        <v>70</v>
      </c>
      <c r="B61" s="2"/>
      <c r="D61" s="2"/>
      <c r="E61" s="2"/>
      <c r="F61" s="2"/>
      <c r="H61" s="2"/>
      <c r="I61" s="2"/>
      <c r="J61" s="2"/>
      <c r="K61" s="22">
        <f t="shared" si="0"/>
        <v>0</v>
      </c>
      <c r="L61" s="14" t="str">
        <f>IFERROR(VLOOKUP(A61,'Collection Rate'!B:C,2,0),"")</f>
        <v/>
      </c>
    </row>
    <row r="62" spans="1:12" hidden="1" x14ac:dyDescent="0.25">
      <c r="A62" s="1" t="s">
        <v>71</v>
      </c>
      <c r="B62" s="2">
        <v>4.2372685185185187E-2</v>
      </c>
      <c r="C62" s="2" t="s">
        <v>72</v>
      </c>
      <c r="D62" s="2" t="s">
        <v>73</v>
      </c>
      <c r="E62" s="2"/>
      <c r="F62" s="2"/>
      <c r="H62" s="2"/>
      <c r="I62" s="2"/>
      <c r="J62" s="2" t="s">
        <v>74</v>
      </c>
      <c r="K62" s="22" t="e">
        <f t="shared" si="0"/>
        <v>#VALUE!</v>
      </c>
      <c r="L62" s="14" t="str">
        <f>IFERROR(VLOOKUP(A62,'Collection Rate'!B:C,2,0),"")</f>
        <v/>
      </c>
    </row>
    <row r="63" spans="1:12" hidden="1" x14ac:dyDescent="0.25">
      <c r="A63" s="1" t="s">
        <v>5</v>
      </c>
      <c r="B63" s="2" t="s">
        <v>6</v>
      </c>
      <c r="C63" s="2" t="s">
        <v>7</v>
      </c>
      <c r="D63" s="2"/>
      <c r="E63" s="2"/>
      <c r="F63" s="2"/>
      <c r="H63" s="2"/>
      <c r="I63" s="2"/>
      <c r="J63" s="2"/>
      <c r="K63" s="22" t="e">
        <f t="shared" si="0"/>
        <v>#VALUE!</v>
      </c>
      <c r="L63" s="14" t="str">
        <f>IFERROR(VLOOKUP(A63,'Collection Rate'!B:C,2,0),"")</f>
        <v/>
      </c>
    </row>
    <row r="64" spans="1:12" hidden="1" x14ac:dyDescent="0.25">
      <c r="B64" s="2"/>
      <c r="D64" s="2"/>
      <c r="E64" s="2"/>
      <c r="F64" s="2"/>
      <c r="H64" s="2"/>
      <c r="I64" s="2"/>
      <c r="J64" s="2"/>
      <c r="K64" s="22">
        <f t="shared" si="0"/>
        <v>0</v>
      </c>
      <c r="L64" s="14" t="str">
        <f>IFERROR(VLOOKUP(A64,'Collection Rate'!B:C,2,0),"")</f>
        <v/>
      </c>
    </row>
    <row r="65" spans="1:12" hidden="1" x14ac:dyDescent="0.25">
      <c r="B65" s="2" t="s">
        <v>8</v>
      </c>
      <c r="C65" s="2" t="s">
        <v>9</v>
      </c>
      <c r="D65" s="2" t="s">
        <v>10</v>
      </c>
      <c r="E65" s="2" t="s">
        <v>11</v>
      </c>
      <c r="F65" s="2" t="s">
        <v>12</v>
      </c>
      <c r="H65" s="2"/>
      <c r="I65" s="2"/>
      <c r="J65" s="2"/>
      <c r="K65" s="22" t="e">
        <f t="shared" si="0"/>
        <v>#VALUE!</v>
      </c>
      <c r="L65" s="14" t="str">
        <f>IFERROR(VLOOKUP(A65,'Collection Rate'!B:C,2,0),"")</f>
        <v/>
      </c>
    </row>
    <row r="66" spans="1:12" hidden="1" x14ac:dyDescent="0.25">
      <c r="B66" s="2" t="s">
        <v>13</v>
      </c>
      <c r="C66" s="2" t="s">
        <v>14</v>
      </c>
      <c r="D66" s="2" t="s">
        <v>15</v>
      </c>
      <c r="E66" s="2" t="s">
        <v>14</v>
      </c>
      <c r="F66" s="2" t="s">
        <v>16</v>
      </c>
      <c r="H66" s="2"/>
      <c r="I66" s="2"/>
      <c r="J66" s="2"/>
      <c r="K66" s="22" t="e">
        <f t="shared" si="0"/>
        <v>#VALUE!</v>
      </c>
      <c r="L66" s="14" t="str">
        <f>IFERROR(VLOOKUP(A66,'Collection Rate'!B:C,2,0),"")</f>
        <v/>
      </c>
    </row>
    <row r="67" spans="1:12" hidden="1" x14ac:dyDescent="0.25">
      <c r="B67" s="2" t="s">
        <v>17</v>
      </c>
      <c r="C67" s="2" t="s">
        <v>18</v>
      </c>
      <c r="D67" s="2" t="s">
        <v>19</v>
      </c>
      <c r="E67" s="2"/>
      <c r="F67" s="2"/>
      <c r="H67" s="2"/>
      <c r="I67" s="2"/>
      <c r="J67" s="2"/>
      <c r="K67" s="22" t="e">
        <f t="shared" si="0"/>
        <v>#VALUE!</v>
      </c>
      <c r="L67" s="14" t="str">
        <f>IFERROR(VLOOKUP(A67,'Collection Rate'!B:C,2,0),"")</f>
        <v/>
      </c>
    </row>
    <row r="68" spans="1:12" hidden="1" x14ac:dyDescent="0.25">
      <c r="B68" s="2"/>
      <c r="D68" s="2"/>
      <c r="E68" s="2"/>
      <c r="F68" s="2"/>
      <c r="H68" s="2"/>
      <c r="I68" s="2"/>
      <c r="J68" s="2"/>
      <c r="K68" s="22">
        <f t="shared" si="0"/>
        <v>0</v>
      </c>
      <c r="L68" s="14" t="str">
        <f>IFERROR(VLOOKUP(A68,'Collection Rate'!B:C,2,0),"")</f>
        <v/>
      </c>
    </row>
    <row r="69" spans="1:12" hidden="1" x14ac:dyDescent="0.25">
      <c r="A69" s="1" t="s">
        <v>20</v>
      </c>
      <c r="B69" s="2" t="s">
        <v>21</v>
      </c>
      <c r="C69" s="2" t="s">
        <v>22</v>
      </c>
      <c r="D69" s="2" t="s">
        <v>23</v>
      </c>
      <c r="E69" s="2" t="s">
        <v>24</v>
      </c>
      <c r="F69" s="2" t="s">
        <v>25</v>
      </c>
      <c r="G69" s="2" t="s">
        <v>26</v>
      </c>
      <c r="H69" s="2" t="s">
        <v>27</v>
      </c>
      <c r="I69" s="2" t="s">
        <v>28</v>
      </c>
      <c r="J69" s="2" t="s">
        <v>29</v>
      </c>
      <c r="K69" s="22" t="e">
        <f t="shared" si="0"/>
        <v>#VALUE!</v>
      </c>
      <c r="L69" s="14" t="str">
        <f>IFERROR(VLOOKUP(A69,'Collection Rate'!B:C,2,0),"")</f>
        <v/>
      </c>
    </row>
    <row r="70" spans="1:12" hidden="1" x14ac:dyDescent="0.25">
      <c r="B70" s="2" t="s">
        <v>30</v>
      </c>
      <c r="D70" s="2"/>
      <c r="E70" s="2" t="s">
        <v>26</v>
      </c>
      <c r="F70" s="2"/>
      <c r="H70" s="2"/>
      <c r="I70" s="2"/>
      <c r="J70" s="2" t="s">
        <v>30</v>
      </c>
      <c r="K70" s="22" t="e">
        <f t="shared" si="0"/>
        <v>#VALUE!</v>
      </c>
      <c r="L70" s="14" t="str">
        <f>IFERROR(VLOOKUP(A70,'Collection Rate'!B:C,2,0),"")</f>
        <v/>
      </c>
    </row>
    <row r="71" spans="1:12" hidden="1" x14ac:dyDescent="0.25">
      <c r="B71" s="2"/>
      <c r="D71" s="2"/>
      <c r="E71" s="2"/>
      <c r="F71" s="2"/>
      <c r="H71" s="2"/>
      <c r="I71" s="2"/>
      <c r="J71" s="2"/>
      <c r="K71" s="22">
        <f t="shared" si="0"/>
        <v>0</v>
      </c>
      <c r="L71" s="14" t="str">
        <f>IFERROR(VLOOKUP(A71,'Collection Rate'!B:C,2,0),"")</f>
        <v/>
      </c>
    </row>
    <row r="72" spans="1:12" hidden="1" x14ac:dyDescent="0.25">
      <c r="A72" s="1" t="s">
        <v>44</v>
      </c>
      <c r="B72" s="2">
        <v>1695.21</v>
      </c>
      <c r="D72" s="2"/>
      <c r="E72" s="2"/>
      <c r="F72" s="2"/>
      <c r="H72" s="2"/>
      <c r="I72" s="2">
        <v>10.46</v>
      </c>
      <c r="J72" s="2">
        <v>1705.67</v>
      </c>
      <c r="K72" s="22">
        <f t="shared" si="0"/>
        <v>10.46</v>
      </c>
      <c r="L72" s="14" t="str">
        <f>IFERROR(VLOOKUP(A72,'Collection Rate'!B:C,2,0),"")</f>
        <v xml:space="preserve">Rates  </v>
      </c>
    </row>
    <row r="73" spans="1:12" hidden="1" x14ac:dyDescent="0.25">
      <c r="A73" s="1" t="s">
        <v>45</v>
      </c>
      <c r="B73" s="2">
        <v>5.78</v>
      </c>
      <c r="D73" s="2"/>
      <c r="E73" s="2"/>
      <c r="F73" s="2"/>
      <c r="H73" s="2"/>
      <c r="I73" s="2"/>
      <c r="J73" s="2">
        <v>5.78</v>
      </c>
      <c r="K73" s="22">
        <f t="shared" si="0"/>
        <v>0</v>
      </c>
      <c r="L73" s="14" t="str">
        <f>IFERROR(VLOOKUP(A73,'Collection Rate'!B:C,2,0),"")</f>
        <v xml:space="preserve">Rates  </v>
      </c>
    </row>
    <row r="74" spans="1:12" hidden="1" x14ac:dyDescent="0.25">
      <c r="A74" s="1" t="s">
        <v>46</v>
      </c>
      <c r="B74" s="2">
        <v>2856.07</v>
      </c>
      <c r="C74" s="2">
        <v>2856.02</v>
      </c>
      <c r="D74" s="2">
        <v>-2856.07</v>
      </c>
      <c r="E74" s="2"/>
      <c r="F74" s="2"/>
      <c r="H74" s="2"/>
      <c r="I74" s="2"/>
      <c r="J74" s="2">
        <v>2856.02</v>
      </c>
      <c r="K74" s="22">
        <f t="shared" si="0"/>
        <v>2856.02</v>
      </c>
      <c r="L74" s="14" t="str">
        <f>IFERROR(VLOOKUP(A74,'Collection Rate'!B:C,2,0),"")</f>
        <v xml:space="preserve">Rates  </v>
      </c>
    </row>
    <row r="75" spans="1:12" hidden="1" x14ac:dyDescent="0.25">
      <c r="A75" s="1" t="s">
        <v>47</v>
      </c>
      <c r="B75" s="2">
        <v>692.57</v>
      </c>
      <c r="D75" s="2">
        <v>-1.27</v>
      </c>
      <c r="E75" s="2"/>
      <c r="F75" s="2"/>
      <c r="H75" s="2"/>
      <c r="I75" s="2">
        <v>4.58</v>
      </c>
      <c r="J75" s="2">
        <v>695.88</v>
      </c>
      <c r="K75" s="22">
        <f t="shared" si="0"/>
        <v>4.58</v>
      </c>
      <c r="L75" s="14" t="str">
        <f>IFERROR(VLOOKUP(A75,'Collection Rate'!B:C,2,0),"")</f>
        <v xml:space="preserve">Rates  </v>
      </c>
    </row>
    <row r="76" spans="1:12" hidden="1" x14ac:dyDescent="0.25">
      <c r="A76" s="1" t="s">
        <v>48</v>
      </c>
      <c r="B76" s="2">
        <v>1807151.47</v>
      </c>
      <c r="C76" s="2">
        <v>860762.78</v>
      </c>
      <c r="D76" s="2">
        <v>-337260.51</v>
      </c>
      <c r="E76" s="2">
        <v>-104324.78</v>
      </c>
      <c r="F76" s="2">
        <v>-65759.649999999994</v>
      </c>
      <c r="G76" s="2">
        <v>51114.92</v>
      </c>
      <c r="H76" s="2"/>
      <c r="I76" s="2">
        <v>5221.08</v>
      </c>
      <c r="J76" s="2">
        <v>2216905.31</v>
      </c>
      <c r="K76" s="22">
        <f t="shared" si="0"/>
        <v>747014.35</v>
      </c>
      <c r="L76" s="14" t="str">
        <f>IFERROR(VLOOKUP(A76,'Collection Rate'!B:C,2,0),"")</f>
        <v xml:space="preserve">Rates  </v>
      </c>
    </row>
    <row r="77" spans="1:12" hidden="1" x14ac:dyDescent="0.25">
      <c r="A77" s="1" t="s">
        <v>49</v>
      </c>
      <c r="B77" s="2">
        <v>445984.18</v>
      </c>
      <c r="C77" s="2">
        <v>397664.27</v>
      </c>
      <c r="D77" s="2">
        <v>-276066.08</v>
      </c>
      <c r="E77" s="2">
        <v>-299449.73</v>
      </c>
      <c r="F77" s="2"/>
      <c r="G77" s="2">
        <v>-18378</v>
      </c>
      <c r="H77" s="2"/>
      <c r="I77" s="2">
        <v>534.13</v>
      </c>
      <c r="J77" s="2">
        <v>250288.77</v>
      </c>
      <c r="K77" s="22">
        <f t="shared" ref="K77:K140" si="1">C77+E77+F77+G77+H77+I77</f>
        <v>80370.670000000042</v>
      </c>
      <c r="L77" s="14" t="str">
        <f>IFERROR(VLOOKUP(A77,'Collection Rate'!B:C,2,0),"")</f>
        <v xml:space="preserve">Rates  </v>
      </c>
    </row>
    <row r="78" spans="1:12" hidden="1" x14ac:dyDescent="0.25">
      <c r="A78" s="1" t="s">
        <v>50</v>
      </c>
      <c r="B78" s="2">
        <v>6969171.1200000001</v>
      </c>
      <c r="D78" s="2">
        <v>-133347.06</v>
      </c>
      <c r="E78" s="2">
        <v>-56171.21</v>
      </c>
      <c r="F78" s="2">
        <v>-645315.9</v>
      </c>
      <c r="G78" s="2">
        <v>-7313.39</v>
      </c>
      <c r="H78" s="2"/>
      <c r="I78" s="2">
        <v>36328.639999999999</v>
      </c>
      <c r="J78" s="2">
        <v>6163352.2000000002</v>
      </c>
      <c r="K78" s="22">
        <f t="shared" si="1"/>
        <v>-672471.86</v>
      </c>
      <c r="L78" s="14" t="str">
        <f>IFERROR(VLOOKUP(A78,'Collection Rate'!B:C,2,0),"")</f>
        <v xml:space="preserve">Rates  </v>
      </c>
    </row>
    <row r="79" spans="1:12" hidden="1" x14ac:dyDescent="0.25">
      <c r="A79" s="1" t="s">
        <v>51</v>
      </c>
      <c r="B79" s="2">
        <v>18232.86</v>
      </c>
      <c r="D79" s="2"/>
      <c r="E79" s="2"/>
      <c r="F79" s="2">
        <v>-614.54999999999995</v>
      </c>
      <c r="H79" s="2"/>
      <c r="I79" s="2"/>
      <c r="J79" s="2">
        <v>17618.310000000001</v>
      </c>
      <c r="K79" s="22">
        <f t="shared" si="1"/>
        <v>-614.54999999999995</v>
      </c>
      <c r="L79" s="14" t="str">
        <f>IFERROR(VLOOKUP(A79,'Collection Rate'!B:C,2,0),"")</f>
        <v xml:space="preserve">Rates  </v>
      </c>
    </row>
    <row r="80" spans="1:12" hidden="1" x14ac:dyDescent="0.25">
      <c r="A80" s="1" t="s">
        <v>52</v>
      </c>
      <c r="B80" s="2"/>
      <c r="D80" s="2"/>
      <c r="E80" s="2"/>
      <c r="F80" s="2"/>
      <c r="H80" s="2"/>
      <c r="I80" s="2"/>
      <c r="J80" s="2"/>
      <c r="K80" s="22">
        <f t="shared" si="1"/>
        <v>0</v>
      </c>
      <c r="L80" s="14" t="str">
        <f>IFERROR(VLOOKUP(A80,'Collection Rate'!B:C,2,0),"")</f>
        <v xml:space="preserve">Rates  </v>
      </c>
    </row>
    <row r="81" spans="1:15" hidden="1" x14ac:dyDescent="0.25">
      <c r="A81" s="1" t="s">
        <v>53</v>
      </c>
      <c r="B81" s="2">
        <v>186566.67</v>
      </c>
      <c r="D81" s="2"/>
      <c r="E81" s="2"/>
      <c r="F81" s="2"/>
      <c r="H81" s="2"/>
      <c r="I81" s="2">
        <v>1148.7</v>
      </c>
      <c r="J81" s="2">
        <v>187715.37</v>
      </c>
      <c r="K81" s="22">
        <f t="shared" si="1"/>
        <v>1148.7</v>
      </c>
      <c r="L81" s="14" t="str">
        <f>IFERROR(VLOOKUP(A81,'Collection Rate'!B:C,2,0),"")</f>
        <v xml:space="preserve">Rates  </v>
      </c>
    </row>
    <row r="82" spans="1:15" hidden="1" x14ac:dyDescent="0.25">
      <c r="A82" s="1" t="s">
        <v>54</v>
      </c>
      <c r="B82" s="2">
        <v>5.74</v>
      </c>
      <c r="D82" s="2"/>
      <c r="E82" s="2"/>
      <c r="F82" s="2"/>
      <c r="H82" s="2"/>
      <c r="I82" s="2">
        <v>0.04</v>
      </c>
      <c r="J82" s="2">
        <v>5.78</v>
      </c>
      <c r="K82" s="22">
        <f t="shared" si="1"/>
        <v>0.04</v>
      </c>
      <c r="L82" s="14" t="str">
        <f>IFERROR(VLOOKUP(A82,'Collection Rate'!B:C,2,0),"")</f>
        <v xml:space="preserve">Rates  </v>
      </c>
    </row>
    <row r="83" spans="1:15" hidden="1" x14ac:dyDescent="0.25">
      <c r="A83" s="1" t="s">
        <v>55</v>
      </c>
      <c r="B83" s="2">
        <v>571794.35</v>
      </c>
      <c r="D83" s="2"/>
      <c r="E83" s="2"/>
      <c r="F83" s="2"/>
      <c r="H83" s="2"/>
      <c r="I83" s="2">
        <v>3115.55</v>
      </c>
      <c r="J83" s="2">
        <v>574909.9</v>
      </c>
      <c r="K83" s="22">
        <f t="shared" si="1"/>
        <v>3115.55</v>
      </c>
      <c r="L83" s="14" t="str">
        <f>IFERROR(VLOOKUP(A83,'Collection Rate'!B:C,2,0),"")</f>
        <v xml:space="preserve">Rates  </v>
      </c>
    </row>
    <row r="84" spans="1:15" hidden="1" x14ac:dyDescent="0.25">
      <c r="A84" s="1" t="s">
        <v>56</v>
      </c>
      <c r="B84" s="2"/>
      <c r="D84" s="2"/>
      <c r="E84" s="2"/>
      <c r="F84" s="2"/>
      <c r="H84" s="2"/>
      <c r="I84" s="2"/>
      <c r="J84" s="2"/>
      <c r="K84" s="22">
        <f t="shared" si="1"/>
        <v>0</v>
      </c>
      <c r="L84" s="14" t="str">
        <f>IFERROR(VLOOKUP(A84,'Collection Rate'!B:C,2,0),"")</f>
        <v xml:space="preserve">Rates  </v>
      </c>
    </row>
    <row r="85" spans="1:15" hidden="1" x14ac:dyDescent="0.25">
      <c r="A85" s="1" t="s">
        <v>57</v>
      </c>
      <c r="B85" s="2">
        <v>13234329.039999999</v>
      </c>
      <c r="D85" s="2">
        <v>-30255.03</v>
      </c>
      <c r="E85" s="2">
        <v>-43534.37</v>
      </c>
      <c r="F85" s="2">
        <v>-949414.79</v>
      </c>
      <c r="G85" s="2">
        <v>-13659.44</v>
      </c>
      <c r="H85" s="2"/>
      <c r="I85" s="2">
        <v>32810.25</v>
      </c>
      <c r="J85" s="2">
        <v>12230275.66</v>
      </c>
      <c r="K85" s="22">
        <f t="shared" si="1"/>
        <v>-973798.35</v>
      </c>
      <c r="L85" s="14" t="str">
        <f>IFERROR(VLOOKUP(A85,'Collection Rate'!B:C,2,0),"")</f>
        <v xml:space="preserve">Rates  </v>
      </c>
    </row>
    <row r="86" spans="1:15" hidden="1" x14ac:dyDescent="0.25">
      <c r="A86" s="1" t="s">
        <v>58</v>
      </c>
      <c r="B86" s="2">
        <v>22365423.609999999</v>
      </c>
      <c r="C86" s="2">
        <v>852529.51</v>
      </c>
      <c r="D86" s="2">
        <v>-305855.46000000002</v>
      </c>
      <c r="E86" s="2">
        <v>-97617.37</v>
      </c>
      <c r="F86" s="2">
        <v>-9978098.6999999993</v>
      </c>
      <c r="G86" s="2">
        <v>-22764.98</v>
      </c>
      <c r="H86" s="2"/>
      <c r="I86" s="2">
        <v>61247.01</v>
      </c>
      <c r="J86" s="2">
        <v>12874863.619999999</v>
      </c>
      <c r="K86" s="22">
        <f t="shared" si="1"/>
        <v>-9184704.5299999993</v>
      </c>
      <c r="L86" s="14" t="str">
        <f>IFERROR(VLOOKUP(A86,'Collection Rate'!B:C,2,0),"")</f>
        <v>Refuse</v>
      </c>
    </row>
    <row r="87" spans="1:15" hidden="1" x14ac:dyDescent="0.25">
      <c r="A87" s="1" t="s">
        <v>59</v>
      </c>
      <c r="B87" s="2">
        <v>40385.31</v>
      </c>
      <c r="D87" s="2"/>
      <c r="E87" s="2"/>
      <c r="F87" s="2">
        <v>-40082.379999999997</v>
      </c>
      <c r="H87" s="2"/>
      <c r="I87" s="2">
        <v>1.49</v>
      </c>
      <c r="J87" s="2">
        <v>304.42</v>
      </c>
      <c r="K87" s="22">
        <f t="shared" si="1"/>
        <v>-40080.89</v>
      </c>
      <c r="L87" s="14" t="str">
        <f>IFERROR(VLOOKUP(A87,'Collection Rate'!B:C,2,0),"")</f>
        <v>Sundries</v>
      </c>
    </row>
    <row r="88" spans="1:15" hidden="1" x14ac:dyDescent="0.25">
      <c r="A88" s="1" t="s">
        <v>60</v>
      </c>
      <c r="B88" s="2">
        <v>15625.39</v>
      </c>
      <c r="C88" s="2">
        <v>5804.67</v>
      </c>
      <c r="D88" s="2">
        <v>-5409.5</v>
      </c>
      <c r="E88" s="2">
        <v>-0.03</v>
      </c>
      <c r="F88" s="2">
        <v>-3742.49</v>
      </c>
      <c r="H88" s="2"/>
      <c r="I88" s="2">
        <v>43.01</v>
      </c>
      <c r="J88" s="2">
        <v>12321.05</v>
      </c>
      <c r="K88" s="22">
        <f t="shared" si="1"/>
        <v>2105.1600000000008</v>
      </c>
      <c r="L88" s="14" t="str">
        <f>IFERROR(VLOOKUP(A88,'Collection Rate'!B:C,2,0),"")</f>
        <v>Water</v>
      </c>
    </row>
    <row r="89" spans="1:15" hidden="1" x14ac:dyDescent="0.25">
      <c r="A89" s="1" t="s">
        <v>61</v>
      </c>
      <c r="B89" s="2">
        <v>20881344.280000001</v>
      </c>
      <c r="C89" s="2">
        <v>825249.75</v>
      </c>
      <c r="D89" s="2">
        <v>-349606.21</v>
      </c>
      <c r="E89" s="2">
        <v>-80653.09</v>
      </c>
      <c r="F89" s="2">
        <v>-9759999.6099999994</v>
      </c>
      <c r="G89" s="2">
        <v>-34748.36</v>
      </c>
      <c r="H89" s="2"/>
      <c r="I89" s="2">
        <v>54895.03</v>
      </c>
      <c r="J89" s="2">
        <v>11536481.789999999</v>
      </c>
      <c r="K89" s="22">
        <f t="shared" si="1"/>
        <v>-8995256.2799999993</v>
      </c>
      <c r="L89" s="14" t="str">
        <f>IFERROR(VLOOKUP(A89,'Collection Rate'!B:C,2,0),"")</f>
        <v>Sewerage</v>
      </c>
    </row>
    <row r="90" spans="1:15" hidden="1" x14ac:dyDescent="0.25">
      <c r="A90" s="1" t="s">
        <v>62</v>
      </c>
      <c r="B90" s="2">
        <v>1246009.96</v>
      </c>
      <c r="C90" s="2">
        <v>67506.66</v>
      </c>
      <c r="D90" s="2">
        <v>-93523.65</v>
      </c>
      <c r="E90" s="2">
        <v>667511.56999999995</v>
      </c>
      <c r="F90" s="2">
        <v>-1382308.02</v>
      </c>
      <c r="G90" s="2">
        <v>8948.8700000000008</v>
      </c>
      <c r="H90" s="2"/>
      <c r="I90" s="2">
        <v>-12986.09</v>
      </c>
      <c r="J90" s="2">
        <v>501159.3</v>
      </c>
      <c r="K90" s="22">
        <f t="shared" si="1"/>
        <v>-651327.01</v>
      </c>
      <c r="L90" s="14" t="str">
        <f>IFERROR(VLOOKUP(A90,'Collection Rate'!B:C,2,0),"")</f>
        <v>Sundries</v>
      </c>
    </row>
    <row r="91" spans="1:15" hidden="1" x14ac:dyDescent="0.25">
      <c r="A91" s="1" t="s">
        <v>63</v>
      </c>
      <c r="B91" s="2">
        <v>32552183.399999999</v>
      </c>
      <c r="C91" s="2">
        <v>1875872.44</v>
      </c>
      <c r="D91" s="2">
        <v>-947161.92</v>
      </c>
      <c r="E91" s="2">
        <v>-64961.84</v>
      </c>
      <c r="F91" s="2">
        <v>-17841959</v>
      </c>
      <c r="G91" s="2">
        <v>-46428.01</v>
      </c>
      <c r="H91" s="2">
        <v>-170.4</v>
      </c>
      <c r="I91" s="2">
        <v>69689.53</v>
      </c>
      <c r="J91" s="2">
        <v>15597064.199999999</v>
      </c>
      <c r="K91" s="22">
        <f t="shared" si="1"/>
        <v>-16007957.280000001</v>
      </c>
      <c r="L91" s="14" t="str">
        <f>IFERROR(VLOOKUP(A91,'Collection Rate'!B:C,2,0),"")</f>
        <v>Water</v>
      </c>
    </row>
    <row r="92" spans="1:15" x14ac:dyDescent="0.25">
      <c r="A92" s="1" t="s">
        <v>64</v>
      </c>
      <c r="B92" s="2">
        <v>-2026093.39</v>
      </c>
      <c r="D92" s="2">
        <v>-4051943.28</v>
      </c>
      <c r="E92" s="2">
        <v>682033.84</v>
      </c>
      <c r="F92" s="2"/>
      <c r="G92" s="2">
        <v>-76460.62</v>
      </c>
      <c r="H92" s="2">
        <v>1160.6500000000001</v>
      </c>
      <c r="I92" s="2"/>
      <c r="J92" s="2">
        <v>-5471302.7999999998</v>
      </c>
      <c r="K92" s="22">
        <f t="shared" si="1"/>
        <v>606733.87</v>
      </c>
      <c r="L92" s="14" t="str">
        <f>IFERROR(VLOOKUP(A92,'Collection Rate'!B:C,2,0),"")</f>
        <v>Payments In advance</v>
      </c>
    </row>
    <row r="93" spans="1:15" hidden="1" x14ac:dyDescent="0.25">
      <c r="A93" s="1" t="s">
        <v>65</v>
      </c>
      <c r="B93" s="1" t="s">
        <v>66</v>
      </c>
      <c r="C93" s="1" t="s">
        <v>67</v>
      </c>
      <c r="D93" s="1" t="s">
        <v>68</v>
      </c>
      <c r="E93" s="1" t="s">
        <v>67</v>
      </c>
      <c r="F93" s="1" t="s">
        <v>67</v>
      </c>
      <c r="G93" s="1" t="s">
        <v>67</v>
      </c>
      <c r="H93" s="1" t="s">
        <v>69</v>
      </c>
      <c r="I93" s="1" t="s">
        <v>68</v>
      </c>
      <c r="J93" s="1" t="s">
        <v>66</v>
      </c>
      <c r="K93" s="22" t="e">
        <f t="shared" si="1"/>
        <v>#VALUE!</v>
      </c>
      <c r="L93" s="14" t="str">
        <f>IFERROR(VLOOKUP(A93,'Collection Rate'!B:C,2,0),"")</f>
        <v/>
      </c>
    </row>
    <row r="94" spans="1:15" hidden="1" x14ac:dyDescent="0.25">
      <c r="A94" s="1">
        <v>202108</v>
      </c>
      <c r="B94" s="25">
        <v>112311506.69</v>
      </c>
      <c r="C94" s="25">
        <v>11083479.27</v>
      </c>
      <c r="D94" s="25">
        <v>-11300212.539999999</v>
      </c>
      <c r="E94" s="25"/>
      <c r="F94" s="25">
        <v>-42491679.780000001</v>
      </c>
      <c r="G94" s="25">
        <v>-251989.46</v>
      </c>
      <c r="H94" s="25">
        <v>1825.8</v>
      </c>
      <c r="I94" s="25">
        <v>290557.73</v>
      </c>
      <c r="J94" s="25">
        <v>69643487.709999993</v>
      </c>
      <c r="K94" s="22">
        <f t="shared" si="1"/>
        <v>-31367806.440000001</v>
      </c>
      <c r="L94" s="14" t="str">
        <f>IFERROR(VLOOKUP(A94,'Collection Rate'!B:C,2,0),"")</f>
        <v/>
      </c>
      <c r="O94" s="3">
        <f>C94+E94+F94+G94+H94+I94</f>
        <v>-31367806.440000001</v>
      </c>
    </row>
    <row r="95" spans="1:15" hidden="1" x14ac:dyDescent="0.25">
      <c r="A95" s="1" t="s">
        <v>31</v>
      </c>
      <c r="B95" s="2">
        <v>6548105.5</v>
      </c>
      <c r="C95" s="2">
        <v>5542542.4299999997</v>
      </c>
      <c r="D95" s="2">
        <v>-4998578.5199999996</v>
      </c>
      <c r="E95" s="2">
        <v>-92663.58</v>
      </c>
      <c r="F95" s="2"/>
      <c r="G95" s="2">
        <v>-33709.01</v>
      </c>
      <c r="H95" s="2"/>
      <c r="I95" s="2">
        <v>9674.74</v>
      </c>
      <c r="J95" s="2">
        <v>6975371.5599999996</v>
      </c>
      <c r="K95" s="22">
        <f t="shared" si="1"/>
        <v>5425844.5800000001</v>
      </c>
      <c r="L95" s="14" t="str">
        <f>IFERROR(VLOOKUP(A95,'Collection Rate'!B:C,2,0),"")</f>
        <v>Electricity</v>
      </c>
      <c r="O95" s="2">
        <v>10422324.369999999</v>
      </c>
    </row>
    <row r="96" spans="1:15" hidden="1" x14ac:dyDescent="0.25">
      <c r="A96" s="1" t="s">
        <v>32</v>
      </c>
      <c r="B96" s="2">
        <v>601863.04</v>
      </c>
      <c r="D96" s="2">
        <v>-2641.48</v>
      </c>
      <c r="E96" s="2">
        <v>-30.19</v>
      </c>
      <c r="F96" s="2">
        <v>-147.44</v>
      </c>
      <c r="G96" s="2">
        <v>-966.02</v>
      </c>
      <c r="H96" s="2"/>
      <c r="I96" s="2">
        <v>3244.89</v>
      </c>
      <c r="J96" s="2">
        <v>601322.80000000005</v>
      </c>
      <c r="K96" s="22">
        <f t="shared" si="1"/>
        <v>2101.2399999999998</v>
      </c>
      <c r="L96" s="14" t="str">
        <f>IFERROR(VLOOKUP(A96,'Collection Rate'!B:C,2,0),"")</f>
        <v>Sundries</v>
      </c>
    </row>
    <row r="97" spans="1:12" hidden="1" x14ac:dyDescent="0.25">
      <c r="A97" s="1" t="s">
        <v>33</v>
      </c>
      <c r="B97" s="2">
        <v>57</v>
      </c>
      <c r="D97" s="2"/>
      <c r="E97" s="2"/>
      <c r="F97" s="2"/>
      <c r="H97" s="2"/>
      <c r="I97" s="2"/>
      <c r="J97" s="2">
        <v>57</v>
      </c>
      <c r="K97" s="22">
        <f t="shared" si="1"/>
        <v>0</v>
      </c>
      <c r="L97" s="14" t="str">
        <f>IFERROR(VLOOKUP(A97,'Collection Rate'!B:C,2,0),"")</f>
        <v>Sundries</v>
      </c>
    </row>
    <row r="98" spans="1:12" hidden="1" x14ac:dyDescent="0.25">
      <c r="A98" s="1" t="s">
        <v>34</v>
      </c>
      <c r="B98" s="2"/>
      <c r="D98" s="2"/>
      <c r="E98" s="2"/>
      <c r="F98" s="2"/>
      <c r="H98" s="2"/>
      <c r="I98" s="2"/>
      <c r="J98" s="2"/>
      <c r="K98" s="22">
        <f t="shared" si="1"/>
        <v>0</v>
      </c>
      <c r="L98" s="14" t="str">
        <f>IFERROR(VLOOKUP(A98,'Collection Rate'!B:C,2,0),"")</f>
        <v xml:space="preserve">Rates  </v>
      </c>
    </row>
    <row r="99" spans="1:12" hidden="1" x14ac:dyDescent="0.25">
      <c r="A99" s="1" t="s">
        <v>35</v>
      </c>
      <c r="B99" s="2">
        <v>157.16</v>
      </c>
      <c r="D99" s="2"/>
      <c r="E99" s="2"/>
      <c r="F99" s="2"/>
      <c r="H99" s="2"/>
      <c r="I99" s="2">
        <v>0.95</v>
      </c>
      <c r="J99" s="2">
        <v>158.11000000000001</v>
      </c>
      <c r="K99" s="22">
        <f t="shared" si="1"/>
        <v>0.95</v>
      </c>
      <c r="L99" s="14" t="str">
        <f>IFERROR(VLOOKUP(A99,'Collection Rate'!B:C,2,0),"")</f>
        <v xml:space="preserve">Rates  </v>
      </c>
    </row>
    <row r="100" spans="1:12" hidden="1" x14ac:dyDescent="0.25">
      <c r="A100" s="1" t="s">
        <v>36</v>
      </c>
      <c r="B100" s="2">
        <v>139652.07999999999</v>
      </c>
      <c r="D100" s="2"/>
      <c r="E100" s="2"/>
      <c r="F100" s="2"/>
      <c r="H100" s="2"/>
      <c r="I100" s="2">
        <v>817.36</v>
      </c>
      <c r="J100" s="2">
        <v>140469.44</v>
      </c>
      <c r="K100" s="22">
        <f t="shared" si="1"/>
        <v>817.36</v>
      </c>
      <c r="L100" s="14" t="str">
        <f>IFERROR(VLOOKUP(A100,'Collection Rate'!B:C,2,0),"")</f>
        <v xml:space="preserve">Rates  </v>
      </c>
    </row>
    <row r="101" spans="1:12" hidden="1" x14ac:dyDescent="0.25">
      <c r="A101" s="1" t="s">
        <v>37</v>
      </c>
      <c r="B101" s="2">
        <v>427667.69</v>
      </c>
      <c r="D101" s="2"/>
      <c r="E101" s="2"/>
      <c r="F101" s="2"/>
      <c r="H101" s="2"/>
      <c r="I101" s="2">
        <v>2623.72</v>
      </c>
      <c r="J101" s="2">
        <v>430291.41</v>
      </c>
      <c r="K101" s="22">
        <f t="shared" si="1"/>
        <v>2623.72</v>
      </c>
      <c r="L101" s="14" t="str">
        <f>IFERROR(VLOOKUP(A101,'Collection Rate'!B:C,2,0),"")</f>
        <v xml:space="preserve">Rates  </v>
      </c>
    </row>
    <row r="102" spans="1:12" hidden="1" x14ac:dyDescent="0.25">
      <c r="A102" s="1" t="s">
        <v>38</v>
      </c>
      <c r="B102" s="2">
        <v>1588616</v>
      </c>
      <c r="D102" s="2">
        <v>-0.03</v>
      </c>
      <c r="E102" s="2"/>
      <c r="F102" s="2">
        <v>-29.86</v>
      </c>
      <c r="G102" s="2">
        <v>-9927.67</v>
      </c>
      <c r="H102" s="2"/>
      <c r="I102" s="2">
        <v>9113.9500000000007</v>
      </c>
      <c r="J102" s="2">
        <v>1587772.39</v>
      </c>
      <c r="K102" s="22">
        <f t="shared" si="1"/>
        <v>-843.57999999999993</v>
      </c>
      <c r="L102" s="14" t="str">
        <f>IFERROR(VLOOKUP(A102,'Collection Rate'!B:C,2,0),"")</f>
        <v xml:space="preserve">Rates  </v>
      </c>
    </row>
    <row r="103" spans="1:12" hidden="1" x14ac:dyDescent="0.25">
      <c r="A103" s="1" t="s">
        <v>39</v>
      </c>
      <c r="B103" s="2">
        <v>267722.32</v>
      </c>
      <c r="C103" s="2">
        <v>62189.4</v>
      </c>
      <c r="D103" s="2">
        <v>-43493.04</v>
      </c>
      <c r="E103" s="2">
        <v>-965.25</v>
      </c>
      <c r="F103" s="2"/>
      <c r="G103" s="2">
        <v>-7586.04</v>
      </c>
      <c r="H103" s="2"/>
      <c r="I103" s="2">
        <v>1702.22</v>
      </c>
      <c r="J103" s="2">
        <v>279569.61</v>
      </c>
      <c r="K103" s="22">
        <f t="shared" si="1"/>
        <v>55340.33</v>
      </c>
      <c r="L103" s="14" t="str">
        <f>IFERROR(VLOOKUP(A103,'Collection Rate'!B:C,2,0),"")</f>
        <v xml:space="preserve">Rates  </v>
      </c>
    </row>
    <row r="104" spans="1:12" hidden="1" x14ac:dyDescent="0.25">
      <c r="A104" s="1" t="s">
        <v>40</v>
      </c>
      <c r="B104" s="2">
        <v>1056238.02</v>
      </c>
      <c r="C104" s="2">
        <v>322284</v>
      </c>
      <c r="D104" s="2">
        <v>-236566.69</v>
      </c>
      <c r="E104" s="2">
        <v>-12001.26</v>
      </c>
      <c r="F104" s="2">
        <v>5627.25</v>
      </c>
      <c r="G104" s="2">
        <v>-14.91</v>
      </c>
      <c r="H104" s="2"/>
      <c r="I104" s="2">
        <v>5972.06</v>
      </c>
      <c r="J104" s="2">
        <v>1141538.47</v>
      </c>
      <c r="K104" s="22">
        <f t="shared" si="1"/>
        <v>321867.14</v>
      </c>
      <c r="L104" s="14" t="str">
        <f>IFERROR(VLOOKUP(A104,'Collection Rate'!B:C,2,0),"")</f>
        <v xml:space="preserve">Rates  </v>
      </c>
    </row>
    <row r="105" spans="1:12" hidden="1" x14ac:dyDescent="0.25">
      <c r="A105" s="1" t="s">
        <v>41</v>
      </c>
      <c r="B105" s="2">
        <v>157822.82</v>
      </c>
      <c r="C105" s="2">
        <v>156057</v>
      </c>
      <c r="D105" s="2">
        <v>-151025.04</v>
      </c>
      <c r="E105" s="2"/>
      <c r="F105" s="2"/>
      <c r="H105" s="2"/>
      <c r="I105" s="2">
        <v>60.24</v>
      </c>
      <c r="J105" s="2">
        <v>162915.01999999999</v>
      </c>
      <c r="K105" s="22">
        <f t="shared" si="1"/>
        <v>156117.24</v>
      </c>
      <c r="L105" s="14" t="str">
        <f>IFERROR(VLOOKUP(A105,'Collection Rate'!B:C,2,0),"")</f>
        <v xml:space="preserve">Rates  </v>
      </c>
    </row>
    <row r="106" spans="1:12" hidden="1" x14ac:dyDescent="0.25">
      <c r="A106" s="1" t="s">
        <v>42</v>
      </c>
      <c r="B106" s="2">
        <v>6.76</v>
      </c>
      <c r="D106" s="2">
        <v>-0.1</v>
      </c>
      <c r="E106" s="2"/>
      <c r="F106" s="2"/>
      <c r="H106" s="2"/>
      <c r="I106" s="2"/>
      <c r="J106" s="2">
        <v>6.66</v>
      </c>
      <c r="K106" s="22">
        <f t="shared" si="1"/>
        <v>0</v>
      </c>
      <c r="L106" s="14" t="str">
        <f>IFERROR(VLOOKUP(A106,'Collection Rate'!B:C,2,0),"")</f>
        <v xml:space="preserve">Rates  </v>
      </c>
    </row>
    <row r="107" spans="1:12" hidden="1" x14ac:dyDescent="0.25">
      <c r="A107" s="1" t="s">
        <v>43</v>
      </c>
      <c r="B107" s="2">
        <v>2158353.09</v>
      </c>
      <c r="C107" s="2">
        <v>360496.02</v>
      </c>
      <c r="D107" s="2">
        <v>-116927.78</v>
      </c>
      <c r="E107" s="2">
        <v>-42396.09</v>
      </c>
      <c r="F107" s="2">
        <v>-943.49</v>
      </c>
      <c r="G107" s="2">
        <v>-314.18</v>
      </c>
      <c r="H107" s="2"/>
      <c r="I107" s="2">
        <v>14016.48</v>
      </c>
      <c r="J107" s="2">
        <v>2372284.0499999998</v>
      </c>
      <c r="K107" s="22">
        <f t="shared" si="1"/>
        <v>330858.74000000005</v>
      </c>
      <c r="L107" s="14" t="str">
        <f>IFERROR(VLOOKUP(A107,'Collection Rate'!B:C,2,0),"")</f>
        <v xml:space="preserve">Rates  </v>
      </c>
    </row>
    <row r="108" spans="1:12" hidden="1" x14ac:dyDescent="0.25">
      <c r="A108" s="1" t="s">
        <v>44</v>
      </c>
      <c r="B108" s="2">
        <v>1705.67</v>
      </c>
      <c r="D108" s="2"/>
      <c r="E108" s="2">
        <v>-0.01</v>
      </c>
      <c r="F108" s="2"/>
      <c r="H108" s="2"/>
      <c r="I108" s="2">
        <v>10.46</v>
      </c>
      <c r="J108" s="2">
        <v>1716.12</v>
      </c>
      <c r="K108" s="22">
        <f t="shared" si="1"/>
        <v>10.450000000000001</v>
      </c>
      <c r="L108" s="14" t="str">
        <f>IFERROR(VLOOKUP(A108,'Collection Rate'!B:C,2,0),"")</f>
        <v xml:space="preserve">Rates  </v>
      </c>
    </row>
    <row r="109" spans="1:12" hidden="1" x14ac:dyDescent="0.25">
      <c r="A109" s="1" t="s">
        <v>45</v>
      </c>
      <c r="B109" s="2">
        <v>5.78</v>
      </c>
      <c r="D109" s="2"/>
      <c r="E109" s="2"/>
      <c r="F109" s="2"/>
      <c r="H109" s="2"/>
      <c r="I109" s="2"/>
      <c r="J109" s="2">
        <v>5.78</v>
      </c>
      <c r="K109" s="22">
        <f t="shared" si="1"/>
        <v>0</v>
      </c>
      <c r="L109" s="14" t="str">
        <f>IFERROR(VLOOKUP(A109,'Collection Rate'!B:C,2,0),"")</f>
        <v xml:space="preserve">Rates  </v>
      </c>
    </row>
    <row r="110" spans="1:12" hidden="1" x14ac:dyDescent="0.25">
      <c r="A110" s="1" t="s">
        <v>46</v>
      </c>
      <c r="B110" s="2">
        <v>2856.02</v>
      </c>
      <c r="C110" s="2">
        <v>2856.02</v>
      </c>
      <c r="D110" s="2">
        <v>-2855.97</v>
      </c>
      <c r="E110" s="2"/>
      <c r="F110" s="2"/>
      <c r="H110" s="2"/>
      <c r="I110" s="2"/>
      <c r="J110" s="2">
        <v>2856.07</v>
      </c>
      <c r="K110" s="22">
        <f t="shared" si="1"/>
        <v>2856.02</v>
      </c>
      <c r="L110" s="14" t="str">
        <f>IFERROR(VLOOKUP(A110,'Collection Rate'!B:C,2,0),"")</f>
        <v xml:space="preserve">Rates  </v>
      </c>
    </row>
    <row r="111" spans="1:12" hidden="1" x14ac:dyDescent="0.25">
      <c r="A111" s="1" t="s">
        <v>47</v>
      </c>
      <c r="B111" s="2">
        <v>695.88</v>
      </c>
      <c r="D111" s="2"/>
      <c r="E111" s="2"/>
      <c r="F111" s="2"/>
      <c r="H111" s="2"/>
      <c r="I111" s="2">
        <v>4.58</v>
      </c>
      <c r="J111" s="2">
        <v>700.46</v>
      </c>
      <c r="K111" s="22">
        <f t="shared" si="1"/>
        <v>4.58</v>
      </c>
      <c r="L111" s="14" t="str">
        <f>IFERROR(VLOOKUP(A111,'Collection Rate'!B:C,2,0),"")</f>
        <v xml:space="preserve">Rates  </v>
      </c>
    </row>
    <row r="112" spans="1:12" hidden="1" x14ac:dyDescent="0.25">
      <c r="A112" s="1" t="s">
        <v>48</v>
      </c>
      <c r="B112" s="2">
        <v>2216905.31</v>
      </c>
      <c r="C112" s="2">
        <v>860177.45</v>
      </c>
      <c r="D112" s="2">
        <v>-448452.64</v>
      </c>
      <c r="E112" s="2">
        <v>-39125.25</v>
      </c>
      <c r="F112" s="2">
        <v>2404.2399999999998</v>
      </c>
      <c r="G112" s="2">
        <v>-440.89</v>
      </c>
      <c r="H112" s="2"/>
      <c r="I112" s="2">
        <v>14248.14</v>
      </c>
      <c r="J112" s="2">
        <v>2605716.36</v>
      </c>
      <c r="K112" s="22">
        <f t="shared" si="1"/>
        <v>837263.69</v>
      </c>
      <c r="L112" s="14" t="str">
        <f>IFERROR(VLOOKUP(A112,'Collection Rate'!B:C,2,0),"")</f>
        <v xml:space="preserve">Rates  </v>
      </c>
    </row>
    <row r="113" spans="1:12" hidden="1" x14ac:dyDescent="0.25">
      <c r="A113" s="1" t="s">
        <v>49</v>
      </c>
      <c r="B113" s="2">
        <v>250288.77</v>
      </c>
      <c r="C113" s="2">
        <v>397664.27</v>
      </c>
      <c r="D113" s="2">
        <v>-130616.92</v>
      </c>
      <c r="E113" s="2">
        <v>-311040.2</v>
      </c>
      <c r="F113" s="2"/>
      <c r="G113" s="2">
        <v>-18378</v>
      </c>
      <c r="H113" s="2"/>
      <c r="I113" s="2">
        <v>1146.8399999999999</v>
      </c>
      <c r="J113" s="2">
        <v>189064.76</v>
      </c>
      <c r="K113" s="22">
        <f t="shared" si="1"/>
        <v>69392.91</v>
      </c>
      <c r="L113" s="14" t="str">
        <f>IFERROR(VLOOKUP(A113,'Collection Rate'!B:C,2,0),"")</f>
        <v xml:space="preserve">Rates  </v>
      </c>
    </row>
    <row r="114" spans="1:12" hidden="1" x14ac:dyDescent="0.25">
      <c r="A114" s="1" t="s">
        <v>50</v>
      </c>
      <c r="B114" s="2">
        <v>6163352.2000000002</v>
      </c>
      <c r="D114" s="2">
        <v>-141721.16</v>
      </c>
      <c r="E114" s="2">
        <v>-11284.78</v>
      </c>
      <c r="F114" s="2">
        <v>-36.340000000000003</v>
      </c>
      <c r="G114" s="2">
        <v>-24565.14</v>
      </c>
      <c r="H114" s="2"/>
      <c r="I114" s="2">
        <v>35229.42</v>
      </c>
      <c r="J114" s="2">
        <v>6020974.2000000002</v>
      </c>
      <c r="K114" s="22">
        <f t="shared" si="1"/>
        <v>-656.84000000000378</v>
      </c>
      <c r="L114" s="14" t="str">
        <f>IFERROR(VLOOKUP(A114,'Collection Rate'!B:C,2,0),"")</f>
        <v xml:space="preserve">Rates  </v>
      </c>
    </row>
    <row r="115" spans="1:12" hidden="1" x14ac:dyDescent="0.25">
      <c r="A115" s="1" t="s">
        <v>51</v>
      </c>
      <c r="B115" s="2">
        <v>17618.310000000001</v>
      </c>
      <c r="D115" s="2">
        <v>-1013.07</v>
      </c>
      <c r="E115" s="2"/>
      <c r="F115" s="2"/>
      <c r="H115" s="2"/>
      <c r="I115" s="2">
        <v>110.32</v>
      </c>
      <c r="J115" s="2">
        <v>16715.560000000001</v>
      </c>
      <c r="K115" s="22">
        <f t="shared" si="1"/>
        <v>110.32</v>
      </c>
      <c r="L115" s="14" t="str">
        <f>IFERROR(VLOOKUP(A115,'Collection Rate'!B:C,2,0),"")</f>
        <v xml:space="preserve">Rates  </v>
      </c>
    </row>
    <row r="116" spans="1:12" hidden="1" x14ac:dyDescent="0.25">
      <c r="A116" s="1" t="s">
        <v>52</v>
      </c>
      <c r="B116" s="2"/>
      <c r="D116" s="2"/>
      <c r="E116" s="2"/>
      <c r="F116" s="2"/>
      <c r="H116" s="2"/>
      <c r="I116" s="2"/>
      <c r="J116" s="2"/>
      <c r="K116" s="22">
        <f t="shared" si="1"/>
        <v>0</v>
      </c>
      <c r="L116" s="14" t="str">
        <f>IFERROR(VLOOKUP(A116,'Collection Rate'!B:C,2,0),"")</f>
        <v xml:space="preserve">Rates  </v>
      </c>
    </row>
    <row r="117" spans="1:12" hidden="1" x14ac:dyDescent="0.25">
      <c r="A117" s="1" t="s">
        <v>53</v>
      </c>
      <c r="B117" s="2">
        <v>187715.37</v>
      </c>
      <c r="D117" s="2"/>
      <c r="E117" s="2"/>
      <c r="F117" s="2"/>
      <c r="H117" s="2"/>
      <c r="I117" s="2">
        <v>1148.7</v>
      </c>
      <c r="J117" s="2">
        <v>188864.07</v>
      </c>
      <c r="K117" s="22">
        <f t="shared" si="1"/>
        <v>1148.7</v>
      </c>
      <c r="L117" s="14" t="str">
        <f>IFERROR(VLOOKUP(A117,'Collection Rate'!B:C,2,0),"")</f>
        <v xml:space="preserve">Rates  </v>
      </c>
    </row>
    <row r="118" spans="1:12" hidden="1" x14ac:dyDescent="0.25">
      <c r="A118" s="1" t="s">
        <v>54</v>
      </c>
      <c r="B118" s="2">
        <v>5.78</v>
      </c>
      <c r="D118" s="2"/>
      <c r="E118" s="2"/>
      <c r="F118" s="2"/>
      <c r="H118" s="2"/>
      <c r="I118" s="2">
        <v>0.04</v>
      </c>
      <c r="J118" s="2">
        <v>5.82</v>
      </c>
      <c r="K118" s="22">
        <f t="shared" si="1"/>
        <v>0.04</v>
      </c>
      <c r="L118" s="14" t="str">
        <f>IFERROR(VLOOKUP(A118,'Collection Rate'!B:C,2,0),"")</f>
        <v xml:space="preserve">Rates  </v>
      </c>
    </row>
    <row r="119" spans="1:12" hidden="1" x14ac:dyDescent="0.25">
      <c r="A119" s="1" t="s">
        <v>55</v>
      </c>
      <c r="B119" s="2">
        <v>574909.9</v>
      </c>
      <c r="D119" s="2"/>
      <c r="E119" s="2"/>
      <c r="F119" s="2"/>
      <c r="G119" s="2">
        <v>-6.34</v>
      </c>
      <c r="H119" s="2"/>
      <c r="I119" s="2">
        <v>3115.55</v>
      </c>
      <c r="J119" s="2">
        <v>578019.11</v>
      </c>
      <c r="K119" s="22">
        <f t="shared" si="1"/>
        <v>3109.21</v>
      </c>
      <c r="L119" s="14" t="str">
        <f>IFERROR(VLOOKUP(A119,'Collection Rate'!B:C,2,0),"")</f>
        <v xml:space="preserve">Rates  </v>
      </c>
    </row>
    <row r="120" spans="1:12" hidden="1" x14ac:dyDescent="0.25">
      <c r="A120" s="1" t="s">
        <v>56</v>
      </c>
      <c r="B120" s="2"/>
      <c r="D120" s="2"/>
      <c r="E120" s="2"/>
      <c r="F120" s="2"/>
      <c r="H120" s="2"/>
      <c r="I120" s="2"/>
      <c r="J120" s="2"/>
      <c r="K120" s="22">
        <f t="shared" si="1"/>
        <v>0</v>
      </c>
      <c r="L120" s="14" t="str">
        <f>IFERROR(VLOOKUP(A120,'Collection Rate'!B:C,2,0),"")</f>
        <v xml:space="preserve">Rates  </v>
      </c>
    </row>
    <row r="121" spans="1:12" hidden="1" x14ac:dyDescent="0.25">
      <c r="A121" s="1" t="s">
        <v>70</v>
      </c>
      <c r="B121" s="2"/>
      <c r="D121" s="2"/>
      <c r="E121" s="2"/>
      <c r="F121" s="2"/>
      <c r="H121" s="2"/>
      <c r="I121" s="2"/>
      <c r="J121" s="2"/>
      <c r="K121" s="22">
        <f t="shared" si="1"/>
        <v>0</v>
      </c>
      <c r="L121" s="14" t="str">
        <f>IFERROR(VLOOKUP(A121,'Collection Rate'!B:C,2,0),"")</f>
        <v/>
      </c>
    </row>
    <row r="122" spans="1:12" hidden="1" x14ac:dyDescent="0.25">
      <c r="A122" s="1" t="s">
        <v>71</v>
      </c>
      <c r="B122" s="2">
        <v>4.2372685185185187E-2</v>
      </c>
      <c r="C122" s="2" t="s">
        <v>72</v>
      </c>
      <c r="D122" s="2" t="s">
        <v>73</v>
      </c>
      <c r="E122" s="2"/>
      <c r="F122" s="2"/>
      <c r="H122" s="2"/>
      <c r="I122" s="2"/>
      <c r="J122" s="2" t="s">
        <v>75</v>
      </c>
      <c r="K122" s="22" t="e">
        <f t="shared" si="1"/>
        <v>#VALUE!</v>
      </c>
      <c r="L122" s="14" t="str">
        <f>IFERROR(VLOOKUP(A122,'Collection Rate'!B:C,2,0),"")</f>
        <v/>
      </c>
    </row>
    <row r="123" spans="1:12" hidden="1" x14ac:dyDescent="0.25">
      <c r="A123" s="1" t="s">
        <v>5</v>
      </c>
      <c r="B123" s="2" t="s">
        <v>6</v>
      </c>
      <c r="C123" s="2" t="s">
        <v>7</v>
      </c>
      <c r="D123" s="2"/>
      <c r="E123" s="2"/>
      <c r="F123" s="2"/>
      <c r="H123" s="2"/>
      <c r="I123" s="2"/>
      <c r="J123" s="2"/>
      <c r="K123" s="22" t="e">
        <f t="shared" si="1"/>
        <v>#VALUE!</v>
      </c>
      <c r="L123" s="14" t="str">
        <f>IFERROR(VLOOKUP(A123,'Collection Rate'!B:C,2,0),"")</f>
        <v/>
      </c>
    </row>
    <row r="124" spans="1:12" hidden="1" x14ac:dyDescent="0.25">
      <c r="B124" s="2"/>
      <c r="D124" s="2"/>
      <c r="E124" s="2"/>
      <c r="F124" s="2"/>
      <c r="H124" s="2"/>
      <c r="I124" s="2"/>
      <c r="J124" s="2"/>
      <c r="K124" s="22">
        <f t="shared" si="1"/>
        <v>0</v>
      </c>
      <c r="L124" s="14" t="str">
        <f>IFERROR(VLOOKUP(A124,'Collection Rate'!B:C,2,0),"")</f>
        <v/>
      </c>
    </row>
    <row r="125" spans="1:12" hidden="1" x14ac:dyDescent="0.25">
      <c r="B125" s="2" t="s">
        <v>8</v>
      </c>
      <c r="C125" s="2" t="s">
        <v>9</v>
      </c>
      <c r="D125" s="2" t="s">
        <v>10</v>
      </c>
      <c r="E125" s="2" t="s">
        <v>11</v>
      </c>
      <c r="F125" s="2" t="s">
        <v>12</v>
      </c>
      <c r="H125" s="2"/>
      <c r="I125" s="2"/>
      <c r="J125" s="2"/>
      <c r="K125" s="22" t="e">
        <f t="shared" si="1"/>
        <v>#VALUE!</v>
      </c>
      <c r="L125" s="14" t="str">
        <f>IFERROR(VLOOKUP(A125,'Collection Rate'!B:C,2,0),"")</f>
        <v/>
      </c>
    </row>
    <row r="126" spans="1:12" hidden="1" x14ac:dyDescent="0.25">
      <c r="B126" s="2" t="s">
        <v>13</v>
      </c>
      <c r="C126" s="2" t="s">
        <v>14</v>
      </c>
      <c r="D126" s="2" t="s">
        <v>15</v>
      </c>
      <c r="E126" s="2" t="s">
        <v>14</v>
      </c>
      <c r="F126" s="2" t="s">
        <v>16</v>
      </c>
      <c r="H126" s="2"/>
      <c r="I126" s="2"/>
      <c r="J126" s="2"/>
      <c r="K126" s="22" t="e">
        <f t="shared" si="1"/>
        <v>#VALUE!</v>
      </c>
      <c r="L126" s="14" t="str">
        <f>IFERROR(VLOOKUP(A126,'Collection Rate'!B:C,2,0),"")</f>
        <v/>
      </c>
    </row>
    <row r="127" spans="1:12" hidden="1" x14ac:dyDescent="0.25">
      <c r="B127" s="2" t="s">
        <v>17</v>
      </c>
      <c r="C127" s="2" t="s">
        <v>18</v>
      </c>
      <c r="D127" s="2" t="s">
        <v>19</v>
      </c>
      <c r="E127" s="2"/>
      <c r="F127" s="2"/>
      <c r="H127" s="2"/>
      <c r="I127" s="2"/>
      <c r="J127" s="2"/>
      <c r="K127" s="22" t="e">
        <f t="shared" si="1"/>
        <v>#VALUE!</v>
      </c>
      <c r="L127" s="14" t="str">
        <f>IFERROR(VLOOKUP(A127,'Collection Rate'!B:C,2,0),"")</f>
        <v/>
      </c>
    </row>
    <row r="128" spans="1:12" hidden="1" x14ac:dyDescent="0.25">
      <c r="B128" s="2"/>
      <c r="D128" s="2"/>
      <c r="E128" s="2"/>
      <c r="F128" s="2"/>
      <c r="H128" s="2"/>
      <c r="I128" s="2"/>
      <c r="J128" s="2"/>
      <c r="K128" s="22">
        <f t="shared" si="1"/>
        <v>0</v>
      </c>
      <c r="L128" s="14" t="str">
        <f>IFERROR(VLOOKUP(A128,'Collection Rate'!B:C,2,0),"")</f>
        <v/>
      </c>
    </row>
    <row r="129" spans="1:12" hidden="1" x14ac:dyDescent="0.25">
      <c r="A129" s="1" t="s">
        <v>20</v>
      </c>
      <c r="B129" s="2" t="s">
        <v>21</v>
      </c>
      <c r="C129" s="2" t="s">
        <v>22</v>
      </c>
      <c r="D129" s="2" t="s">
        <v>23</v>
      </c>
      <c r="E129" s="2" t="s">
        <v>24</v>
      </c>
      <c r="F129" s="2" t="s">
        <v>25</v>
      </c>
      <c r="G129" s="2" t="s">
        <v>26</v>
      </c>
      <c r="H129" s="2" t="s">
        <v>27</v>
      </c>
      <c r="I129" s="2" t="s">
        <v>28</v>
      </c>
      <c r="J129" s="2" t="s">
        <v>29</v>
      </c>
      <c r="K129" s="22" t="e">
        <f t="shared" si="1"/>
        <v>#VALUE!</v>
      </c>
      <c r="L129" s="14" t="str">
        <f>IFERROR(VLOOKUP(A129,'Collection Rate'!B:C,2,0),"")</f>
        <v/>
      </c>
    </row>
    <row r="130" spans="1:12" hidden="1" x14ac:dyDescent="0.25">
      <c r="B130" s="2" t="s">
        <v>30</v>
      </c>
      <c r="D130" s="2"/>
      <c r="E130" s="2" t="s">
        <v>26</v>
      </c>
      <c r="F130" s="2"/>
      <c r="H130" s="2"/>
      <c r="I130" s="2"/>
      <c r="J130" s="2" t="s">
        <v>30</v>
      </c>
      <c r="K130" s="22" t="e">
        <f t="shared" si="1"/>
        <v>#VALUE!</v>
      </c>
      <c r="L130" s="14" t="str">
        <f>IFERROR(VLOOKUP(A130,'Collection Rate'!B:C,2,0),"")</f>
        <v/>
      </c>
    </row>
    <row r="131" spans="1:12" hidden="1" x14ac:dyDescent="0.25">
      <c r="B131" s="2"/>
      <c r="D131" s="2"/>
      <c r="E131" s="2"/>
      <c r="F131" s="2"/>
      <c r="H131" s="2"/>
      <c r="I131" s="2"/>
      <c r="J131" s="2"/>
      <c r="K131" s="22">
        <f t="shared" si="1"/>
        <v>0</v>
      </c>
      <c r="L131" s="14" t="str">
        <f>IFERROR(VLOOKUP(A131,'Collection Rate'!B:C,2,0),"")</f>
        <v/>
      </c>
    </row>
    <row r="132" spans="1:12" hidden="1" x14ac:dyDescent="0.25">
      <c r="A132" s="1" t="s">
        <v>57</v>
      </c>
      <c r="B132" s="2">
        <v>12230275.66</v>
      </c>
      <c r="D132" s="2">
        <v>-28261.4</v>
      </c>
      <c r="E132" s="2">
        <v>-14007.94</v>
      </c>
      <c r="F132" s="2">
        <v>-11224.29</v>
      </c>
      <c r="G132" s="2">
        <v>-54222.53</v>
      </c>
      <c r="H132" s="2"/>
      <c r="I132" s="2">
        <v>32097.7</v>
      </c>
      <c r="J132" s="2">
        <v>12154657.199999999</v>
      </c>
      <c r="K132" s="22">
        <f t="shared" si="1"/>
        <v>-47357.060000000012</v>
      </c>
      <c r="L132" s="14" t="str">
        <f>IFERROR(VLOOKUP(A132,'Collection Rate'!B:C,2,0),"")</f>
        <v xml:space="preserve">Rates  </v>
      </c>
    </row>
    <row r="133" spans="1:12" hidden="1" x14ac:dyDescent="0.25">
      <c r="A133" s="1" t="s">
        <v>58</v>
      </c>
      <c r="B133" s="2">
        <v>12874863.619999999</v>
      </c>
      <c r="C133" s="2">
        <v>848195.71</v>
      </c>
      <c r="D133" s="2">
        <v>-324813.51</v>
      </c>
      <c r="E133" s="2">
        <v>-41344.32</v>
      </c>
      <c r="F133" s="2">
        <v>-1706.4</v>
      </c>
      <c r="G133" s="2">
        <v>-42061.48</v>
      </c>
      <c r="H133" s="2"/>
      <c r="I133" s="2">
        <v>70885.16</v>
      </c>
      <c r="J133" s="2">
        <v>13384018.779999999</v>
      </c>
      <c r="K133" s="22">
        <f t="shared" si="1"/>
        <v>833968.67</v>
      </c>
      <c r="L133" s="14" t="str">
        <f>IFERROR(VLOOKUP(A133,'Collection Rate'!B:C,2,0),"")</f>
        <v>Refuse</v>
      </c>
    </row>
    <row r="134" spans="1:12" hidden="1" x14ac:dyDescent="0.25">
      <c r="A134" s="1" t="s">
        <v>59</v>
      </c>
      <c r="B134" s="2">
        <v>304.42</v>
      </c>
      <c r="D134" s="2"/>
      <c r="E134" s="2"/>
      <c r="F134" s="2"/>
      <c r="H134" s="2"/>
      <c r="I134" s="2">
        <v>1.49</v>
      </c>
      <c r="J134" s="2">
        <v>305.91000000000003</v>
      </c>
      <c r="K134" s="22">
        <f t="shared" si="1"/>
        <v>1.49</v>
      </c>
      <c r="L134" s="14" t="str">
        <f>IFERROR(VLOOKUP(A134,'Collection Rate'!B:C,2,0),"")</f>
        <v>Sundries</v>
      </c>
    </row>
    <row r="135" spans="1:12" hidden="1" x14ac:dyDescent="0.25">
      <c r="A135" s="1" t="s">
        <v>60</v>
      </c>
      <c r="B135" s="2">
        <v>12321.05</v>
      </c>
      <c r="C135" s="2">
        <v>5572.48</v>
      </c>
      <c r="D135" s="2">
        <v>-6023.52</v>
      </c>
      <c r="E135" s="2">
        <v>-1.4</v>
      </c>
      <c r="F135" s="2">
        <v>-464.38</v>
      </c>
      <c r="H135" s="2"/>
      <c r="I135" s="2">
        <v>70.040000000000006</v>
      </c>
      <c r="J135" s="2">
        <v>11474.27</v>
      </c>
      <c r="K135" s="22">
        <f t="shared" si="1"/>
        <v>5176.74</v>
      </c>
      <c r="L135" s="14" t="str">
        <f>IFERROR(VLOOKUP(A135,'Collection Rate'!B:C,2,0),"")</f>
        <v>Water</v>
      </c>
    </row>
    <row r="136" spans="1:12" hidden="1" x14ac:dyDescent="0.25">
      <c r="A136" s="1" t="s">
        <v>61</v>
      </c>
      <c r="B136" s="2">
        <v>11536481.789999999</v>
      </c>
      <c r="C136" s="2">
        <v>822529.53</v>
      </c>
      <c r="D136" s="2">
        <v>-336730.98</v>
      </c>
      <c r="E136" s="2">
        <v>-27456.1</v>
      </c>
      <c r="F136" s="2">
        <v>-1643.86</v>
      </c>
      <c r="G136" s="2">
        <v>-15694.4</v>
      </c>
      <c r="H136" s="2"/>
      <c r="I136" s="2">
        <v>63363.82</v>
      </c>
      <c r="J136" s="2">
        <v>12040849.800000001</v>
      </c>
      <c r="K136" s="22">
        <f t="shared" si="1"/>
        <v>841098.99</v>
      </c>
      <c r="L136" s="14" t="str">
        <f>IFERROR(VLOOKUP(A136,'Collection Rate'!B:C,2,0),"")</f>
        <v>Sewerage</v>
      </c>
    </row>
    <row r="137" spans="1:12" hidden="1" x14ac:dyDescent="0.25">
      <c r="A137" s="1" t="s">
        <v>62</v>
      </c>
      <c r="B137" s="2">
        <v>501159.3</v>
      </c>
      <c r="C137" s="2">
        <v>67506.66</v>
      </c>
      <c r="D137" s="2">
        <v>-38436.06</v>
      </c>
      <c r="E137" s="2">
        <v>141431.24</v>
      </c>
      <c r="F137" s="2">
        <v>-154079.88</v>
      </c>
      <c r="G137" s="2">
        <v>2830.58</v>
      </c>
      <c r="H137" s="2"/>
      <c r="I137" s="2">
        <v>18126.060000000001</v>
      </c>
      <c r="J137" s="2">
        <v>538537.9</v>
      </c>
      <c r="K137" s="22">
        <f t="shared" si="1"/>
        <v>75814.659999999989</v>
      </c>
      <c r="L137" s="14" t="str">
        <f>IFERROR(VLOOKUP(A137,'Collection Rate'!B:C,2,0),"")</f>
        <v>Sundries</v>
      </c>
    </row>
    <row r="138" spans="1:12" hidden="1" x14ac:dyDescent="0.25">
      <c r="A138" s="1" t="s">
        <v>63</v>
      </c>
      <c r="B138" s="2">
        <v>15597064.199999999</v>
      </c>
      <c r="C138" s="2">
        <v>1821377.91</v>
      </c>
      <c r="D138" s="2">
        <v>-990376.46</v>
      </c>
      <c r="E138" s="2">
        <v>-65123.31</v>
      </c>
      <c r="F138" s="2">
        <v>-11539.68</v>
      </c>
      <c r="G138" s="2">
        <v>-38229.160000000003</v>
      </c>
      <c r="H138" s="2"/>
      <c r="I138" s="2">
        <v>83433.320000000007</v>
      </c>
      <c r="J138" s="2">
        <v>16396606.82</v>
      </c>
      <c r="K138" s="22">
        <f t="shared" si="1"/>
        <v>1789919.08</v>
      </c>
      <c r="L138" s="14" t="str">
        <f>IFERROR(VLOOKUP(A138,'Collection Rate'!B:C,2,0),"")</f>
        <v>Water</v>
      </c>
    </row>
    <row r="139" spans="1:12" x14ac:dyDescent="0.25">
      <c r="A139" s="1" t="s">
        <v>64</v>
      </c>
      <c r="B139" s="2">
        <v>-5471303.6299999999</v>
      </c>
      <c r="D139" s="2">
        <v>-352635.22</v>
      </c>
      <c r="E139" s="2">
        <v>516008.44</v>
      </c>
      <c r="F139" s="2"/>
      <c r="G139" s="2">
        <v>197150.87</v>
      </c>
      <c r="H139" s="2">
        <v>10355.35</v>
      </c>
      <c r="I139" s="2"/>
      <c r="J139" s="2">
        <v>-5100424.1900000004</v>
      </c>
      <c r="K139" s="22">
        <f t="shared" si="1"/>
        <v>723514.66</v>
      </c>
      <c r="L139" s="14" t="str">
        <f>IFERROR(VLOOKUP(A139,'Collection Rate'!B:C,2,0),"")</f>
        <v>Payments In advance</v>
      </c>
    </row>
    <row r="140" spans="1:12" hidden="1" x14ac:dyDescent="0.25">
      <c r="A140" s="1" t="s">
        <v>65</v>
      </c>
      <c r="B140" s="1" t="s">
        <v>66</v>
      </c>
      <c r="C140" s="1" t="s">
        <v>67</v>
      </c>
      <c r="D140" s="1" t="s">
        <v>68</v>
      </c>
      <c r="E140" s="1" t="s">
        <v>67</v>
      </c>
      <c r="F140" s="1" t="s">
        <v>67</v>
      </c>
      <c r="G140" s="1" t="s">
        <v>67</v>
      </c>
      <c r="H140" s="1" t="s">
        <v>69</v>
      </c>
      <c r="I140" s="1" t="s">
        <v>68</v>
      </c>
      <c r="J140" s="1" t="s">
        <v>66</v>
      </c>
      <c r="K140" s="22" t="e">
        <f t="shared" si="1"/>
        <v>#VALUE!</v>
      </c>
      <c r="L140" s="14" t="str">
        <f>IFERROR(VLOOKUP(A140,'Collection Rate'!B:C,2,0),"")</f>
        <v/>
      </c>
    </row>
    <row r="141" spans="1:12" hidden="1" x14ac:dyDescent="0.25">
      <c r="A141" s="1">
        <v>202109</v>
      </c>
      <c r="B141" s="25">
        <v>69643486.879999995</v>
      </c>
      <c r="C141" s="25">
        <v>11269448.880000001</v>
      </c>
      <c r="D141" s="25">
        <v>-8351169.5899999999</v>
      </c>
      <c r="E141" s="25"/>
      <c r="F141" s="25">
        <v>-173784.13</v>
      </c>
      <c r="G141" s="25">
        <v>-46134.32</v>
      </c>
      <c r="H141" s="25">
        <v>10355.35</v>
      </c>
      <c r="I141" s="25">
        <v>370218.25</v>
      </c>
      <c r="J141" s="25">
        <v>72722421.319999993</v>
      </c>
      <c r="K141" s="22">
        <f t="shared" ref="K141:K142" si="2">C141+E141+F141+G141+H141+I141</f>
        <v>11430104.029999999</v>
      </c>
      <c r="L141" s="14" t="str">
        <f>IFERROR(VLOOKUP(A141,'Collection Rate'!B:C,2,0),"")</f>
        <v/>
      </c>
    </row>
    <row r="142" spans="1:12" hidden="1" x14ac:dyDescent="0.25">
      <c r="C142" s="1" t="s">
        <v>67</v>
      </c>
      <c r="D142" s="1" t="s">
        <v>68</v>
      </c>
      <c r="E142" s="1" t="s">
        <v>67</v>
      </c>
      <c r="F142" s="1" t="s">
        <v>67</v>
      </c>
      <c r="G142" s="1" t="s">
        <v>67</v>
      </c>
      <c r="H142" s="1" t="s">
        <v>69</v>
      </c>
      <c r="I142" s="1" t="s">
        <v>68</v>
      </c>
      <c r="K142" s="22" t="e">
        <f t="shared" si="2"/>
        <v>#VALUE!</v>
      </c>
      <c r="L142" s="14" t="str">
        <f>IFERROR(VLOOKUP(A142,'Collection Rate'!B:C,2,0),"")</f>
        <v/>
      </c>
    </row>
    <row r="143" spans="1:12" hidden="1" x14ac:dyDescent="0.25">
      <c r="C143" s="2">
        <v>32947896.77</v>
      </c>
      <c r="D143" s="2">
        <v>-25843887.859999999</v>
      </c>
      <c r="E143" s="2"/>
      <c r="F143" s="2">
        <v>-43127927.210000001</v>
      </c>
      <c r="G143" s="2">
        <v>-449066.03</v>
      </c>
      <c r="H143" s="2">
        <v>23166.47</v>
      </c>
      <c r="I143" s="2">
        <v>1138369.6599999999</v>
      </c>
      <c r="L143" s="14" t="str">
        <f>IFERROR(VLOOKUP(A143,'Collection Rate'!B:C,2,0),"")</f>
        <v/>
      </c>
    </row>
    <row r="144" spans="1:12" hidden="1" x14ac:dyDescent="0.25">
      <c r="C144" s="1" t="s">
        <v>14</v>
      </c>
      <c r="D144" s="1" t="s">
        <v>15</v>
      </c>
      <c r="E144" s="1" t="s">
        <v>14</v>
      </c>
      <c r="F144" s="1" t="s">
        <v>14</v>
      </c>
      <c r="G144" s="1" t="s">
        <v>14</v>
      </c>
      <c r="H144" s="1" t="s">
        <v>76</v>
      </c>
      <c r="I144" s="1" t="s">
        <v>15</v>
      </c>
      <c r="K144" s="1"/>
      <c r="L144" s="14" t="str">
        <f>IFERROR(VLOOKUP(A144,'Collection Rate'!B:C,2,0),"")</f>
        <v/>
      </c>
    </row>
    <row r="145" spans="1:12" hidden="1" x14ac:dyDescent="0.25">
      <c r="C145" s="1"/>
      <c r="D145" s="3">
        <f>D139+D92+D45</f>
        <v>-4752368.71</v>
      </c>
      <c r="E145" s="3">
        <f t="shared" ref="E145:I145" si="3">E139+E92+E45</f>
        <v>1696063.9300000002</v>
      </c>
      <c r="F145" s="3">
        <f t="shared" si="3"/>
        <v>0</v>
      </c>
      <c r="G145" s="3">
        <f t="shared" si="3"/>
        <v>89647.87</v>
      </c>
      <c r="H145" s="3">
        <f t="shared" si="3"/>
        <v>21849.440000000002</v>
      </c>
      <c r="I145" s="3">
        <f t="shared" si="3"/>
        <v>0</v>
      </c>
      <c r="K145" s="1"/>
      <c r="L145" s="14" t="str">
        <f>IFERROR(VLOOKUP(A145,'Collection Rate'!B:C,2,0),"")</f>
        <v/>
      </c>
    </row>
    <row r="146" spans="1:12" hidden="1" x14ac:dyDescent="0.25">
      <c r="A146" s="1" t="s">
        <v>77</v>
      </c>
      <c r="B146" s="1" t="s">
        <v>78</v>
      </c>
      <c r="C146" s="1" t="s">
        <v>79</v>
      </c>
      <c r="D146" s="1" t="s">
        <v>80</v>
      </c>
      <c r="G146" s="1"/>
      <c r="K146" s="1"/>
      <c r="L146" s="14" t="str">
        <f>IFERROR(VLOOKUP(A146,'Collection Rate'!B:C,2,0),"")</f>
        <v/>
      </c>
    </row>
    <row r="147" spans="1:12" hidden="1" x14ac:dyDescent="0.25">
      <c r="C147" s="1"/>
      <c r="D147" s="2"/>
      <c r="G147" s="1"/>
      <c r="K147" s="1"/>
      <c r="L147" s="14" t="str">
        <f>IFERROR(VLOOKUP(A147,'Collection Rate'!B:C,2,0),"")</f>
        <v/>
      </c>
    </row>
    <row r="148" spans="1:12" hidden="1" x14ac:dyDescent="0.25">
      <c r="C148" s="1"/>
      <c r="G148" s="1"/>
    </row>
    <row r="149" spans="1:12" hidden="1" x14ac:dyDescent="0.25">
      <c r="C149" s="3">
        <f>C141+F141+G141+H141+I141</f>
        <v>11430104.029999999</v>
      </c>
      <c r="G149" s="1"/>
      <c r="K149" s="1"/>
    </row>
    <row r="150" spans="1:12" x14ac:dyDescent="0.25">
      <c r="C150" s="2">
        <f>D141</f>
        <v>-8351169.5899999999</v>
      </c>
    </row>
    <row r="151" spans="1:12" x14ac:dyDescent="0.25">
      <c r="C151" s="4">
        <f>C150/C149</f>
        <v>-0.73062935980994748</v>
      </c>
      <c r="J151" s="3">
        <f>J139+J92+J45</f>
        <v>-12597820.380000001</v>
      </c>
    </row>
    <row r="153" spans="1:12" x14ac:dyDescent="0.25">
      <c r="C153" s="3">
        <f>C141+C94+C47</f>
        <v>32947896.769999996</v>
      </c>
      <c r="D153" s="3">
        <f>D141+D94+D47</f>
        <v>-25843887.859999999</v>
      </c>
      <c r="E153" s="3">
        <f t="shared" ref="E153:I153" si="4">E141+E94+E47</f>
        <v>0</v>
      </c>
      <c r="F153" s="3">
        <f t="shared" si="4"/>
        <v>-43127927.210000001</v>
      </c>
      <c r="G153" s="3">
        <f t="shared" si="4"/>
        <v>-449066.02999999997</v>
      </c>
      <c r="H153" s="3">
        <f t="shared" si="4"/>
        <v>23166.47</v>
      </c>
      <c r="I153" s="3">
        <f t="shared" si="4"/>
        <v>1138369.6599999999</v>
      </c>
    </row>
    <row r="154" spans="1:12" x14ac:dyDescent="0.25">
      <c r="C154" s="2">
        <f>C153+F153+G153+H153+I153-'Indigent Write-Offs'!H61-Prescription!G65</f>
        <v>28526741.479999997</v>
      </c>
      <c r="J154" s="2">
        <f t="shared" ref="J154" si="5">J143</f>
        <v>0</v>
      </c>
    </row>
    <row r="155" spans="1:12" x14ac:dyDescent="0.25">
      <c r="J155" s="2"/>
    </row>
    <row r="158" spans="1:12" x14ac:dyDescent="0.25">
      <c r="D158" s="3">
        <f>C141+C94+C47+H158</f>
        <v>32498830.739999995</v>
      </c>
      <c r="E158" s="3">
        <f>D141+D94+D47</f>
        <v>-25843887.859999999</v>
      </c>
      <c r="G158" s="3">
        <f>F141+F94+F47</f>
        <v>-43127927.210000001</v>
      </c>
      <c r="H158" s="2">
        <f>G141+G94+G47</f>
        <v>-449066.02999999997</v>
      </c>
    </row>
    <row r="159" spans="1:12" x14ac:dyDescent="0.25">
      <c r="E159" s="4">
        <f>E158/D158</f>
        <v>-0.79522515953753981</v>
      </c>
      <c r="G159" s="1"/>
    </row>
    <row r="160" spans="1:12" x14ac:dyDescent="0.25">
      <c r="D160" s="2"/>
      <c r="G160" s="1"/>
      <c r="H160" s="2"/>
    </row>
    <row r="161" spans="4:10" x14ac:dyDescent="0.25">
      <c r="D161" s="2"/>
      <c r="E161" s="3">
        <f t="shared" ref="E161:J161" si="6">D139+D92+D45</f>
        <v>-4752368.71</v>
      </c>
      <c r="F161" s="3">
        <f t="shared" si="6"/>
        <v>1696063.9300000002</v>
      </c>
      <c r="G161" s="3">
        <f t="shared" si="6"/>
        <v>0</v>
      </c>
      <c r="H161" s="3">
        <f t="shared" si="6"/>
        <v>89647.87</v>
      </c>
      <c r="I161" s="3">
        <f t="shared" si="6"/>
        <v>21849.440000000002</v>
      </c>
      <c r="J161" s="3">
        <f t="shared" si="6"/>
        <v>0</v>
      </c>
    </row>
    <row r="162" spans="4:10" x14ac:dyDescent="0.25">
      <c r="D162" s="2"/>
      <c r="G162" s="1"/>
      <c r="H162" s="2"/>
    </row>
    <row r="163" spans="4:10" x14ac:dyDescent="0.25">
      <c r="D163" s="2"/>
      <c r="G163" s="1"/>
      <c r="H163" s="2">
        <f>SUM(E161:I161)</f>
        <v>-2944807.4699999997</v>
      </c>
    </row>
    <row r="164" spans="4:10" x14ac:dyDescent="0.25">
      <c r="D164" s="2">
        <f>C143</f>
        <v>32947896.77</v>
      </c>
      <c r="E164" s="2">
        <f>D143</f>
        <v>-25843887.859999999</v>
      </c>
      <c r="F164" s="2">
        <f>E143</f>
        <v>0</v>
      </c>
      <c r="G164" s="2">
        <f>F143-'Indigent Write-Offs'!H61-Prescription!G65</f>
        <v>-5133625.3899999969</v>
      </c>
      <c r="H164" s="2">
        <f>G143</f>
        <v>-449066.03</v>
      </c>
      <c r="I164" s="2">
        <f>H143</f>
        <v>23166.47</v>
      </c>
      <c r="J164" s="2">
        <f>I143</f>
        <v>1138369.6599999999</v>
      </c>
    </row>
    <row r="165" spans="4:10" x14ac:dyDescent="0.25">
      <c r="D165" s="2">
        <f>D164+G164+H164+I164+J164</f>
        <v>28526741.48</v>
      </c>
      <c r="E165" s="23">
        <f>E164/D165</f>
        <v>-0.90595302930476862</v>
      </c>
      <c r="F165" s="2"/>
      <c r="H165" s="2"/>
      <c r="I165" s="2"/>
      <c r="J165" s="2"/>
    </row>
    <row r="166" spans="4:10" x14ac:dyDescent="0.25">
      <c r="D166" s="2"/>
      <c r="G166" s="1"/>
      <c r="H166" s="2"/>
    </row>
    <row r="167" spans="4:10" x14ac:dyDescent="0.25">
      <c r="D167" s="2"/>
      <c r="G167" s="1"/>
      <c r="H167" s="2"/>
    </row>
    <row r="168" spans="4:10" x14ac:dyDescent="0.25">
      <c r="D168" s="2"/>
      <c r="G168" s="1"/>
      <c r="H168" s="2"/>
    </row>
  </sheetData>
  <autoFilter ref="A9:L149" xr:uid="{00000000-0001-0000-0000-000000000000}">
    <filterColumn colId="11">
      <filters>
        <filter val="Payments In advance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Collection Rate</vt:lpstr>
      <vt:lpstr>Indigent Write-Offs</vt:lpstr>
      <vt:lpstr>Prescription</vt:lpstr>
      <vt:lpstr>Payment Report</vt:lpstr>
      <vt:lpstr>'Collection Rate'!Print_Area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Strydom</dc:creator>
  <cp:lastModifiedBy>Bennie Strydom</cp:lastModifiedBy>
  <dcterms:created xsi:type="dcterms:W3CDTF">2021-10-21T11:11:03Z</dcterms:created>
  <dcterms:modified xsi:type="dcterms:W3CDTF">2021-10-25T19:31:07Z</dcterms:modified>
</cp:coreProperties>
</file>